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2 SUPPORT PROCESSES\2_6 LEGAL AND DATA PROTECTION\Access to Docs\"/>
    </mc:Choice>
  </mc:AlternateContent>
  <bookViews>
    <workbookView xWindow="0" yWindow="0" windowWidth="28800" windowHeight="12300" activeTab="2"/>
  </bookViews>
  <sheets>
    <sheet name="ED Missions 2017- Bánfi" sheetId="4" r:id="rId1"/>
    <sheet name="ED missions 2017 - Schroeder" sheetId="3" r:id="rId2"/>
    <sheet name="ED missions 2018 - Schroeder" sheetId="1" r:id="rId3"/>
  </sheets>
  <externalReferences>
    <externalReference r:id="rId4"/>
  </externalReferences>
  <definedNames>
    <definedName name="Countries">[1]BackgroundData!$B$11:$B$184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H22" i="3" l="1"/>
  <c r="F22" i="3"/>
  <c r="E22" i="3"/>
  <c r="I22" i="3" s="1"/>
  <c r="I21" i="3"/>
  <c r="H20" i="3"/>
  <c r="F20" i="3"/>
  <c r="E20" i="3"/>
  <c r="H19" i="3"/>
  <c r="G19" i="3"/>
  <c r="E19" i="3"/>
  <c r="I18" i="3"/>
  <c r="I17" i="3"/>
  <c r="H16" i="3"/>
  <c r="F16" i="3"/>
  <c r="E16" i="3"/>
  <c r="I16" i="3" s="1"/>
  <c r="H15" i="3"/>
  <c r="E15" i="3"/>
  <c r="H14" i="3"/>
  <c r="G14" i="3"/>
  <c r="E14" i="3"/>
  <c r="I14" i="3" s="1"/>
  <c r="H13" i="3"/>
  <c r="G13" i="3"/>
  <c r="F13" i="3"/>
  <c r="E13" i="3"/>
  <c r="H12" i="3"/>
  <c r="E12" i="3"/>
  <c r="I12" i="3" s="1"/>
  <c r="F11" i="3"/>
  <c r="I11" i="3" s="1"/>
  <c r="I10" i="3"/>
  <c r="H9" i="3"/>
  <c r="E9" i="3"/>
  <c r="I8" i="3"/>
  <c r="H7" i="3"/>
  <c r="E7" i="3"/>
  <c r="I6" i="3"/>
  <c r="H5" i="3"/>
  <c r="I5" i="3" s="1"/>
  <c r="H4" i="3"/>
  <c r="I4" i="3" s="1"/>
  <c r="I3" i="3"/>
  <c r="E2" i="3"/>
  <c r="I2" i="3" s="1"/>
  <c r="I7" i="3" l="1"/>
  <c r="I15" i="3"/>
  <c r="I13" i="3"/>
  <c r="I20" i="3"/>
  <c r="I19" i="3"/>
  <c r="I9" i="3"/>
  <c r="E31" i="1"/>
  <c r="H11" i="4" l="1"/>
  <c r="H10" i="4"/>
  <c r="H9" i="4"/>
  <c r="H8" i="4"/>
  <c r="H7" i="4"/>
  <c r="H6" i="4"/>
  <c r="F5" i="4"/>
  <c r="H5" i="4" s="1"/>
  <c r="H4" i="4"/>
  <c r="H3" i="4"/>
  <c r="H2" i="4"/>
  <c r="E3" i="1" l="1"/>
  <c r="E15" i="1" l="1"/>
  <c r="I35" i="1"/>
  <c r="I27" i="1"/>
  <c r="I28" i="1"/>
  <c r="I16" i="1"/>
  <c r="I17" i="1"/>
  <c r="I18" i="1"/>
  <c r="I19" i="1"/>
  <c r="I33" i="1"/>
  <c r="I34" i="1"/>
  <c r="H32" i="1"/>
  <c r="I32" i="1" s="1"/>
  <c r="E24" i="1"/>
  <c r="I24" i="1" s="1"/>
  <c r="F21" i="1"/>
  <c r="E21" i="1"/>
  <c r="H21" i="1"/>
  <c r="H12" i="1"/>
  <c r="I12" i="1" s="1"/>
  <c r="E11" i="1"/>
  <c r="I11" i="1" s="1"/>
  <c r="H10" i="1"/>
  <c r="F10" i="1"/>
  <c r="I10" i="1" s="1"/>
  <c r="H9" i="1"/>
  <c r="I9" i="1" s="1"/>
  <c r="H8" i="1"/>
  <c r="I8" i="1" s="1"/>
  <c r="E7" i="1"/>
  <c r="I7" i="1" s="1"/>
  <c r="H6" i="1"/>
  <c r="I6" i="1" s="1"/>
  <c r="H5" i="1"/>
  <c r="I5" i="1" s="1"/>
  <c r="E4" i="1"/>
  <c r="H4" i="1"/>
  <c r="F4" i="1"/>
  <c r="H3" i="1"/>
  <c r="F3" i="1"/>
  <c r="I31" i="1"/>
  <c r="F30" i="1"/>
  <c r="I30" i="1" s="1"/>
  <c r="H29" i="1"/>
  <c r="F29" i="1"/>
  <c r="E26" i="1"/>
  <c r="I26" i="1" s="1"/>
  <c r="E25" i="1"/>
  <c r="I25" i="1" s="1"/>
  <c r="F23" i="1"/>
  <c r="I23" i="1" s="1"/>
  <c r="E22" i="1"/>
  <c r="I22" i="1" s="1"/>
  <c r="H20" i="1"/>
  <c r="E20" i="1"/>
  <c r="I21" i="1" l="1"/>
  <c r="I3" i="1"/>
  <c r="I29" i="1"/>
  <c r="I4" i="1"/>
  <c r="I20" i="1"/>
  <c r="H15" i="1"/>
  <c r="I15" i="1" s="1"/>
  <c r="E13" i="1"/>
  <c r="I13" i="1" s="1"/>
  <c r="E14" i="1" l="1"/>
  <c r="H14" i="1" l="1"/>
  <c r="F14" i="1"/>
  <c r="I14" i="1" l="1"/>
</calcChain>
</file>

<file path=xl/comments1.xml><?xml version="1.0" encoding="utf-8"?>
<comments xmlns="http://schemas.openxmlformats.org/spreadsheetml/2006/main">
  <authors>
    <author>Kristina Aleksieva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Kristina Aleksieva:</t>
        </r>
        <r>
          <rPr>
            <sz val="9"/>
            <color indexed="81"/>
            <rFont val="Tahoma"/>
            <family val="2"/>
          </rPr>
          <t xml:space="preserve">
only the ticket booked by the Deputy Director </t>
        </r>
      </text>
    </comment>
  </commentList>
</comments>
</file>

<file path=xl/sharedStrings.xml><?xml version="1.0" encoding="utf-8"?>
<sst xmlns="http://schemas.openxmlformats.org/spreadsheetml/2006/main" count="246" uniqueCount="137">
  <si>
    <t>TRANSPORTATION</t>
  </si>
  <si>
    <t>ACCOMMODATION</t>
  </si>
  <si>
    <t>ALLOWANCE</t>
  </si>
  <si>
    <t>TOTAL EURO</t>
  </si>
  <si>
    <t>PURPOSE</t>
  </si>
  <si>
    <t>EUIPO High Level Meeting on IP crime</t>
  </si>
  <si>
    <t xml:space="preserve">Head of Agencies Meeting &amp;COSI &amp; DG Home </t>
  </si>
  <si>
    <t xml:space="preserve">LIBE meeting </t>
  </si>
  <si>
    <t xml:space="preserve">Eurojust meeting </t>
  </si>
  <si>
    <t>Task Force on Security Union</t>
  </si>
  <si>
    <t xml:space="preserve">OLAF meeting </t>
  </si>
  <si>
    <t xml:space="preserve">Meeting with French Police Directorate </t>
  </si>
  <si>
    <t xml:space="preserve">46th Interpol Regional Conference </t>
  </si>
  <si>
    <t>Multi-Presidency Meeting 7-8 June</t>
  </si>
  <si>
    <t>JHA Council Meeting</t>
  </si>
  <si>
    <t>SOMEI -Lyon 21 June</t>
  </si>
  <si>
    <t>Meeting with EEAS Brussels 22 Juni</t>
  </si>
  <si>
    <t>COSI meeting 26 June Brussels</t>
  </si>
  <si>
    <t>European Police Chiefs Convention 2018</t>
  </si>
  <si>
    <t>COSI - 28 Sep 2018</t>
  </si>
  <si>
    <t>CT 2 Rabat, Marocco 01-02 October</t>
  </si>
  <si>
    <t>Heads of JHA Agnencies meeting</t>
  </si>
  <si>
    <t xml:space="preserve">The Netherlands </t>
  </si>
  <si>
    <t xml:space="preserve">The Hague </t>
  </si>
  <si>
    <t>Belgium</t>
  </si>
  <si>
    <t xml:space="preserve">Brussels </t>
  </si>
  <si>
    <t xml:space="preserve">Belgium </t>
  </si>
  <si>
    <t>Netherlands</t>
  </si>
  <si>
    <t>Bulgaria</t>
  </si>
  <si>
    <t xml:space="preserve">Sofia </t>
  </si>
  <si>
    <t xml:space="preserve">France </t>
  </si>
  <si>
    <t>Paris</t>
  </si>
  <si>
    <t>Ireland</t>
  </si>
  <si>
    <t xml:space="preserve">Dublin </t>
  </si>
  <si>
    <t>Cyprus</t>
  </si>
  <si>
    <t>Nicosia</t>
  </si>
  <si>
    <t>Spain</t>
  </si>
  <si>
    <t>Alicante</t>
  </si>
  <si>
    <t>Austria</t>
  </si>
  <si>
    <t>Vienna</t>
  </si>
  <si>
    <t>Luxembourg</t>
  </si>
  <si>
    <t xml:space="preserve">Luxemburg </t>
  </si>
  <si>
    <t>France</t>
  </si>
  <si>
    <t xml:space="preserve">Lyon </t>
  </si>
  <si>
    <t>Algeria</t>
  </si>
  <si>
    <t>Algires</t>
  </si>
  <si>
    <t>Romania</t>
  </si>
  <si>
    <t>Bucharest</t>
  </si>
  <si>
    <t>Innsbruck</t>
  </si>
  <si>
    <t>Morocco</t>
  </si>
  <si>
    <t>Rabat</t>
  </si>
  <si>
    <t>Finland</t>
  </si>
  <si>
    <t>Helsinki</t>
  </si>
  <si>
    <t>Lithuania</t>
  </si>
  <si>
    <t xml:space="preserve">Vilnius </t>
  </si>
  <si>
    <t>CITY</t>
  </si>
  <si>
    <t>COUNTRY</t>
  </si>
  <si>
    <t>OUTBOUND</t>
  </si>
  <si>
    <t>INBOUND</t>
  </si>
  <si>
    <t>COMMENTS</t>
  </si>
  <si>
    <t>No accommodation, one day mission</t>
  </si>
  <si>
    <t xml:space="preserve">Management Board Meeting </t>
  </si>
  <si>
    <t>JHA Council Meeting 05/06/2019</t>
  </si>
  <si>
    <t>Informal COSI meeting  Bulgaria/Sofia</t>
  </si>
  <si>
    <t>Launching event of the Police Academies Network</t>
  </si>
  <si>
    <t>Salzburg</t>
  </si>
  <si>
    <t xml:space="preserve">European Regional Conference </t>
  </si>
  <si>
    <t>Malta</t>
  </si>
  <si>
    <t>Valetta</t>
  </si>
  <si>
    <t>Accommodation paid by organisers</t>
  </si>
  <si>
    <t xml:space="preserve">Estonia </t>
  </si>
  <si>
    <t>Tallinn</t>
  </si>
  <si>
    <t>CEPOL Director visit to Estonia</t>
  </si>
  <si>
    <t>Brussels</t>
  </si>
  <si>
    <t>Pristina</t>
  </si>
  <si>
    <t>Signature of Working Arrangement</t>
  </si>
  <si>
    <t>Visiting head of Finnish Customs and National Police Board, Visiting Finnish University College</t>
  </si>
  <si>
    <t xml:space="preserve">Managament Board  Meeting </t>
  </si>
  <si>
    <t>Senior-level launching event of the OSCE Guidebook on Intelligence-Led Policing</t>
  </si>
  <si>
    <t xml:space="preserve">2nd Cyprus Police International Conference </t>
  </si>
  <si>
    <t>Managament Board Meeting</t>
  </si>
  <si>
    <t>ALLOWANCE DSA</t>
  </si>
  <si>
    <t>TRANSPORT OTHER</t>
  </si>
  <si>
    <t>Lyon</t>
  </si>
  <si>
    <t>SOMEI</t>
  </si>
  <si>
    <t>Estonia</t>
  </si>
  <si>
    <t>Informal joint COSI/CATS meeting</t>
  </si>
  <si>
    <t xml:space="preserve">COSI Meeting </t>
  </si>
  <si>
    <t xml:space="preserve">Vienna </t>
  </si>
  <si>
    <t xml:space="preserve">Spain </t>
  </si>
  <si>
    <t xml:space="preserve">Opening of the Virtual Training Center </t>
  </si>
  <si>
    <t xml:space="preserve">Lebanon </t>
  </si>
  <si>
    <t xml:space="preserve">Beirut </t>
  </si>
  <si>
    <t xml:space="preserve">EU Lebanon counter terrorism Training Partnership </t>
  </si>
  <si>
    <t xml:space="preserve">Austria </t>
  </si>
  <si>
    <t xml:space="preserve">Preparation of the upcoming Presidency Meeting </t>
  </si>
  <si>
    <t xml:space="preserve">Belgrade </t>
  </si>
  <si>
    <t>Mission to Belgrade</t>
  </si>
  <si>
    <t xml:space="preserve">Poland </t>
  </si>
  <si>
    <t xml:space="preserve">Warsaw </t>
  </si>
  <si>
    <t>Opening Ceremony of the EU Joint Masters</t>
  </si>
  <si>
    <t>High Level Meeting on Counterfeiting and Piracy</t>
  </si>
  <si>
    <t>JHA Agencies Network training meeting and 2nd network meeting</t>
  </si>
  <si>
    <t>Panel discussion at the EP</t>
  </si>
  <si>
    <t xml:space="preserve">Managament Board Meeting </t>
  </si>
  <si>
    <t xml:space="preserve">IISG programme kick-off at UNODC </t>
  </si>
  <si>
    <t xml:space="preserve">Meeting at INTERPOL </t>
  </si>
  <si>
    <t xml:space="preserve">Bulgaria </t>
  </si>
  <si>
    <t>BG Presidency preparatory meeting</t>
  </si>
  <si>
    <t xml:space="preserve">COSI </t>
  </si>
  <si>
    <t xml:space="preserve">Luxembourg </t>
  </si>
  <si>
    <t>5th MB Meeting</t>
  </si>
  <si>
    <t>Cancelled</t>
  </si>
  <si>
    <t>Portugal + Germany</t>
  </si>
  <si>
    <t>Lisbon + Frankfurt</t>
  </si>
  <si>
    <t>Attendance _ Curia deliberations</t>
  </si>
  <si>
    <t>Cancelled (hotel rate was not refundable, flight partly)</t>
  </si>
  <si>
    <r>
      <rPr>
        <b/>
        <sz val="11"/>
        <rFont val="Calibri"/>
        <family val="2"/>
        <scheme val="minor"/>
      </rPr>
      <t>NB</t>
    </r>
    <r>
      <rPr>
        <sz val="11"/>
        <rFont val="Calibri"/>
        <family val="2"/>
        <scheme val="minor"/>
      </rPr>
      <t>: As from 1 June 2017,  Mr Ferenc Bánfi the CEPOL Executive Director(ED) at that time, was on  long-term sick leave until the expiration of his second term (15 February 2018). Remaining missions for the year  2017  were carried out by the ad-interim ED Mr Detlef Schroeder</t>
    </r>
  </si>
  <si>
    <t>European Police Chiefs Convention 2017 (EPCC 201Netherlands)</t>
  </si>
  <si>
    <t>SOMEI Vienna 10-11 December</t>
  </si>
  <si>
    <t xml:space="preserve"> 3RD Police Conference</t>
  </si>
  <si>
    <t xml:space="preserve"> Working against THB meeting </t>
  </si>
  <si>
    <t xml:space="preserve"> High Level Police Forces meeting</t>
  </si>
  <si>
    <t xml:space="preserve"> Security Union Task Force</t>
  </si>
  <si>
    <t>Working Visit Romanian Mol</t>
  </si>
  <si>
    <t xml:space="preserve">Informal JHA ministers meeting </t>
  </si>
  <si>
    <t xml:space="preserve"> Network of EU Heads of Agencies meeting</t>
  </si>
  <si>
    <t>Visit Finland - Tampere and  Helsinki 24-25 Oct</t>
  </si>
  <si>
    <t>Presentation of CEPOL's multiannual work programme in LIBE and meeting DG of DG HOME</t>
  </si>
  <si>
    <t>7th Informal Strategy Meeting</t>
  </si>
  <si>
    <r>
      <rPr>
        <b/>
        <sz val="11"/>
        <rFont val="Calibri"/>
        <family val="2"/>
        <scheme val="minor"/>
      </rPr>
      <t>NB</t>
    </r>
    <r>
      <rPr>
        <sz val="11"/>
        <rFont val="Calibri"/>
        <family val="2"/>
        <scheme val="minor"/>
      </rPr>
      <t>: Mr Detlef Schroeder was appointed as ED of CEPOL on 16 February 2018</t>
    </r>
  </si>
  <si>
    <t>COSI meeting 02 July Vienna</t>
  </si>
  <si>
    <t>ED Visit to Algeria, CEPOL CT 2,  03-July</t>
  </si>
  <si>
    <t xml:space="preserve">
One day mission - mission aborted due to flight cancellation en route </t>
  </si>
  <si>
    <t xml:space="preserve">Serbia </t>
  </si>
  <si>
    <r>
      <t>Kosovo</t>
    </r>
    <r>
      <rPr>
        <sz val="11"/>
        <rFont val="Calibri"/>
        <family val="2"/>
      </rPr>
      <t>*</t>
    </r>
  </si>
  <si>
    <t>*This designation is without prejudice to positions on status, and is in line with UNSCR 1244 and the ICJ Opinion on the Kosovo Declaration of Independence.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</si>
</sst>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M-2018/&quot;0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Palatino Linotype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/>
    <xf numFmtId="43" fontId="4" fillId="0" borderId="1" xfId="1" applyNumberFormat="1" applyFont="1" applyFill="1" applyBorder="1" applyAlignment="1">
      <alignment horizontal="center" vertical="center"/>
    </xf>
    <xf numFmtId="43" fontId="5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3" fontId="6" fillId="0" borderId="2" xfId="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3" fontId="3" fillId="0" borderId="1" xfId="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43" fontId="7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Fill="1"/>
    <xf numFmtId="0" fontId="5" fillId="0" borderId="0" xfId="0" applyFont="1" applyFill="1"/>
    <xf numFmtId="2" fontId="3" fillId="0" borderId="0" xfId="0" applyNumberFormat="1" applyFont="1" applyFill="1"/>
    <xf numFmtId="43" fontId="3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5" fillId="0" borderId="3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2" fontId="3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3">
    <cellStyle name="Accent5" xfId="2" builtinId="45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%20MANAGEMENT%20PROCESSES/3_6%20MONITORING%20AND%20REPORTING/30%20-%20CSD%20Reports/60%20-%20Travel%20&amp;%20Mission%20reporting/2018/invitations%20&amp;%20mission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itations"/>
      <sheetName val="Missions"/>
      <sheetName val="T1 - Actual + Estimate"/>
      <sheetName val="T1 - Actual"/>
      <sheetName val="T3 - Actual + Estimate"/>
      <sheetName val="T3 - Actual"/>
      <sheetName val="PostingCriteria Table"/>
      <sheetName val="Backgroun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B11" t="str">
            <v>Austria</v>
          </cell>
        </row>
        <row r="12">
          <cell r="B12" t="str">
            <v>Belgium</v>
          </cell>
        </row>
        <row r="13">
          <cell r="B13" t="str">
            <v>Cyprus</v>
          </cell>
        </row>
        <row r="14">
          <cell r="B14" t="str">
            <v>Estonia</v>
          </cell>
        </row>
        <row r="15">
          <cell r="B15" t="str">
            <v>Finland</v>
          </cell>
        </row>
        <row r="16">
          <cell r="B16" t="str">
            <v>France</v>
          </cell>
        </row>
        <row r="17">
          <cell r="B17" t="str">
            <v>Germany</v>
          </cell>
        </row>
        <row r="18">
          <cell r="B18" t="str">
            <v>Greece</v>
          </cell>
        </row>
        <row r="19">
          <cell r="B19" t="str">
            <v>Ireland</v>
          </cell>
        </row>
        <row r="20">
          <cell r="B20" t="str">
            <v>Italy</v>
          </cell>
        </row>
        <row r="21">
          <cell r="B21" t="str">
            <v>Latvia</v>
          </cell>
        </row>
        <row r="22">
          <cell r="B22" t="str">
            <v>Lithuania</v>
          </cell>
        </row>
        <row r="23">
          <cell r="B23" t="str">
            <v>Luxembourg</v>
          </cell>
        </row>
        <row r="24">
          <cell r="B24" t="str">
            <v>Malta</v>
          </cell>
        </row>
        <row r="25">
          <cell r="B25" t="str">
            <v>Netherlands</v>
          </cell>
        </row>
        <row r="26">
          <cell r="B26" t="str">
            <v>Portugal</v>
          </cell>
        </row>
        <row r="27">
          <cell r="B27" t="str">
            <v>Slovakia</v>
          </cell>
        </row>
        <row r="28">
          <cell r="B28" t="str">
            <v>Slovenia</v>
          </cell>
        </row>
        <row r="29">
          <cell r="B29" t="str">
            <v>Spain</v>
          </cell>
        </row>
        <row r="30">
          <cell r="B30" t="str">
            <v>Bulgaria</v>
          </cell>
        </row>
        <row r="31">
          <cell r="B31" t="str">
            <v>Croatia</v>
          </cell>
        </row>
        <row r="32">
          <cell r="B32" t="str">
            <v>Czech Republic</v>
          </cell>
        </row>
        <row r="33">
          <cell r="B33" t="str">
            <v>Denmark</v>
          </cell>
        </row>
        <row r="34">
          <cell r="B34" t="str">
            <v>Hungary</v>
          </cell>
        </row>
        <row r="35">
          <cell r="B35" t="str">
            <v>Poland</v>
          </cell>
        </row>
        <row r="36">
          <cell r="B36" t="str">
            <v>Romania</v>
          </cell>
        </row>
        <row r="37">
          <cell r="B37" t="str">
            <v>Sweden</v>
          </cell>
        </row>
        <row r="38">
          <cell r="B38" t="str">
            <v>United Kingdom</v>
          </cell>
        </row>
        <row r="39">
          <cell r="B39" t="str">
            <v>Australia</v>
          </cell>
        </row>
        <row r="40">
          <cell r="B40" t="str">
            <v>Brazil</v>
          </cell>
        </row>
        <row r="41">
          <cell r="B41" t="str">
            <v>Canada</v>
          </cell>
        </row>
        <row r="42">
          <cell r="B42" t="str">
            <v>China</v>
          </cell>
        </row>
        <row r="43">
          <cell r="B43" t="str">
            <v>Hong Kong</v>
          </cell>
        </row>
        <row r="44">
          <cell r="B44" t="str">
            <v>India</v>
          </cell>
        </row>
        <row r="45">
          <cell r="B45" t="str">
            <v>Indonesia</v>
          </cell>
        </row>
        <row r="46">
          <cell r="B46" t="str">
            <v>Japan</v>
          </cell>
        </row>
        <row r="47">
          <cell r="B47" t="str">
            <v>Malaysia</v>
          </cell>
        </row>
        <row r="48">
          <cell r="B48" t="str">
            <v>Mexico</v>
          </cell>
        </row>
        <row r="49">
          <cell r="B49" t="str">
            <v>New Zealand</v>
          </cell>
        </row>
        <row r="50">
          <cell r="B50" t="str">
            <v>Norway</v>
          </cell>
        </row>
        <row r="51">
          <cell r="B51" t="str">
            <v>Philippines</v>
          </cell>
        </row>
        <row r="52">
          <cell r="B52" t="str">
            <v>Russia</v>
          </cell>
        </row>
        <row r="53">
          <cell r="B53" t="str">
            <v>Singapore</v>
          </cell>
        </row>
        <row r="54">
          <cell r="B54" t="str">
            <v>South Africa</v>
          </cell>
        </row>
        <row r="55">
          <cell r="B55" t="str">
            <v>South Korea</v>
          </cell>
        </row>
        <row r="56">
          <cell r="B56" t="str">
            <v>Switzerland</v>
          </cell>
        </row>
        <row r="57">
          <cell r="B57" t="str">
            <v>Taiwan</v>
          </cell>
        </row>
        <row r="58">
          <cell r="B58" t="str">
            <v>Thailand</v>
          </cell>
        </row>
        <row r="59">
          <cell r="B59" t="str">
            <v>Turkey</v>
          </cell>
        </row>
        <row r="60">
          <cell r="B60" t="str">
            <v>United States (Except New York)</v>
          </cell>
        </row>
        <row r="61">
          <cell r="B61" t="str">
            <v>United States (New York)</v>
          </cell>
        </row>
        <row r="62">
          <cell r="B62"/>
        </row>
        <row r="63">
          <cell r="B63" t="str">
            <v>Afghanistan</v>
          </cell>
        </row>
        <row r="64">
          <cell r="B64" t="str">
            <v>Albania</v>
          </cell>
        </row>
        <row r="65">
          <cell r="B65" t="str">
            <v>Algeria</v>
          </cell>
        </row>
        <row r="66">
          <cell r="B66" t="str">
            <v>Angola</v>
          </cell>
        </row>
        <row r="67">
          <cell r="B67" t="str">
            <v>Argentina</v>
          </cell>
        </row>
        <row r="68">
          <cell r="B68" t="str">
            <v>Armenia</v>
          </cell>
        </row>
        <row r="69">
          <cell r="B69" t="str">
            <v>Aruba</v>
          </cell>
        </row>
        <row r="70">
          <cell r="B70" t="str">
            <v>Azerbaijan</v>
          </cell>
        </row>
        <row r="71">
          <cell r="B71" t="str">
            <v>Bahamas(the)</v>
          </cell>
        </row>
        <row r="72">
          <cell r="B72" t="str">
            <v>Bahrain</v>
          </cell>
        </row>
        <row r="73">
          <cell r="B73" t="str">
            <v>Bangladesh</v>
          </cell>
        </row>
        <row r="74">
          <cell r="B74" t="str">
            <v>Barbados</v>
          </cell>
        </row>
        <row r="75">
          <cell r="B75" t="str">
            <v>Belarus</v>
          </cell>
        </row>
        <row r="76">
          <cell r="B76" t="str">
            <v>Belize</v>
          </cell>
        </row>
        <row r="77">
          <cell r="B77" t="str">
            <v>Bermuda</v>
          </cell>
        </row>
        <row r="78">
          <cell r="B78" t="str">
            <v>Bhutan</v>
          </cell>
        </row>
        <row r="79">
          <cell r="B79" t="str">
            <v>Bolivia</v>
          </cell>
        </row>
        <row r="80">
          <cell r="B80" t="str">
            <v>Bosnia and Herzegovina</v>
          </cell>
        </row>
        <row r="81">
          <cell r="B81" t="str">
            <v>Botswana</v>
          </cell>
        </row>
        <row r="82">
          <cell r="B82" t="str">
            <v>Brunei</v>
          </cell>
        </row>
        <row r="83">
          <cell r="B83" t="str">
            <v>Burundi</v>
          </cell>
        </row>
        <row r="84">
          <cell r="B84" t="str">
            <v>Cambodia</v>
          </cell>
        </row>
        <row r="85">
          <cell r="B85" t="str">
            <v>Cape Verde</v>
          </cell>
        </row>
        <row r="86">
          <cell r="B86" t="str">
            <v>Cayman Islands</v>
          </cell>
        </row>
        <row r="87">
          <cell r="B87" t="str">
            <v>Chile</v>
          </cell>
        </row>
        <row r="88">
          <cell r="B88" t="str">
            <v>Colombia</v>
          </cell>
        </row>
        <row r="89">
          <cell r="B89" t="str">
            <v>Comoros</v>
          </cell>
        </row>
        <row r="90">
          <cell r="B90" t="str">
            <v>Congo (Democratic Republic of)</v>
          </cell>
        </row>
        <row r="91">
          <cell r="B91" t="str">
            <v>Costa Rica</v>
          </cell>
        </row>
        <row r="92">
          <cell r="B92" t="str">
            <v>Cuba</v>
          </cell>
        </row>
        <row r="93">
          <cell r="B93" t="str">
            <v>CuraÃ§ao</v>
          </cell>
        </row>
        <row r="94">
          <cell r="B94" t="str">
            <v>Djibouti</v>
          </cell>
        </row>
        <row r="95">
          <cell r="B95" t="str">
            <v>Dominican Republic</v>
          </cell>
        </row>
        <row r="96">
          <cell r="B96" t="str">
            <v>Egypt</v>
          </cell>
        </row>
        <row r="97">
          <cell r="B97" t="str">
            <v>El Salvador</v>
          </cell>
        </row>
        <row r="98">
          <cell r="B98" t="str">
            <v>Eritrea</v>
          </cell>
        </row>
        <row r="99">
          <cell r="B99" t="str">
            <v>Ethiopia</v>
          </cell>
        </row>
        <row r="100">
          <cell r="B100" t="str">
            <v>Falkland Islands</v>
          </cell>
        </row>
        <row r="101">
          <cell r="B101" t="str">
            <v>Fiji</v>
          </cell>
        </row>
        <row r="102">
          <cell r="B102" t="str">
            <v>Gambia (the)</v>
          </cell>
        </row>
        <row r="103">
          <cell r="B103" t="str">
            <v>Georgia</v>
          </cell>
        </row>
        <row r="104">
          <cell r="B104" t="str">
            <v>Ghana</v>
          </cell>
        </row>
        <row r="105">
          <cell r="B105" t="str">
            <v>Gibraltar</v>
          </cell>
        </row>
        <row r="106">
          <cell r="B106" t="str">
            <v>Guatemala</v>
          </cell>
        </row>
        <row r="107">
          <cell r="B107" t="str">
            <v>Guinea</v>
          </cell>
        </row>
        <row r="108">
          <cell r="B108" t="str">
            <v>Guyana</v>
          </cell>
        </row>
        <row r="109">
          <cell r="B109" t="str">
            <v>Haiti</v>
          </cell>
        </row>
        <row r="110">
          <cell r="B110" t="str">
            <v>Honduras</v>
          </cell>
        </row>
        <row r="111">
          <cell r="B111" t="str">
            <v>Iceland</v>
          </cell>
        </row>
        <row r="112">
          <cell r="B112" t="str">
            <v>Iran</v>
          </cell>
        </row>
        <row r="113">
          <cell r="B113" t="str">
            <v>Iraq</v>
          </cell>
        </row>
        <row r="114">
          <cell r="B114" t="str">
            <v>Israel</v>
          </cell>
        </row>
        <row r="115">
          <cell r="B115" t="str">
            <v>Jamaica</v>
          </cell>
        </row>
        <row r="116">
          <cell r="B116" t="str">
            <v>Jordan</v>
          </cell>
        </row>
        <row r="117">
          <cell r="B117" t="str">
            <v>Kazakhstan</v>
          </cell>
        </row>
        <row r="118">
          <cell r="B118" t="str">
            <v>Kenya</v>
          </cell>
        </row>
        <row r="119">
          <cell r="B119" t="str">
            <v>Kosovo</v>
          </cell>
        </row>
        <row r="120">
          <cell r="B120" t="str">
            <v>Kuwait</v>
          </cell>
        </row>
        <row r="121">
          <cell r="B121" t="str">
            <v>Kyrgyzstan</v>
          </cell>
        </row>
        <row r="122">
          <cell r="B122" t="str">
            <v>Laos</v>
          </cell>
        </row>
        <row r="123">
          <cell r="B123" t="str">
            <v>Lebanon</v>
          </cell>
        </row>
        <row r="124">
          <cell r="B124" t="str">
            <v>Lesotho</v>
          </cell>
        </row>
        <row r="125">
          <cell r="B125" t="str">
            <v>Liberia</v>
          </cell>
        </row>
        <row r="126">
          <cell r="B126" t="str">
            <v>Libya</v>
          </cell>
        </row>
        <row r="127">
          <cell r="B127" t="str">
            <v>Macau</v>
          </cell>
        </row>
        <row r="128">
          <cell r="B128" t="str">
            <v>Macedonia (the former Yugoslav Republic of)</v>
          </cell>
        </row>
        <row r="129">
          <cell r="B129" t="str">
            <v>Madagascar</v>
          </cell>
        </row>
        <row r="130">
          <cell r="B130" t="str">
            <v>Malawi</v>
          </cell>
        </row>
        <row r="131">
          <cell r="B131" t="str">
            <v>Maldives</v>
          </cell>
        </row>
        <row r="132">
          <cell r="B132" t="str">
            <v>Mauritania</v>
          </cell>
        </row>
        <row r="133">
          <cell r="B133" t="str">
            <v>Mauritius</v>
          </cell>
        </row>
        <row r="134">
          <cell r="B134" t="str">
            <v>Moldova</v>
          </cell>
        </row>
        <row r="135">
          <cell r="B135" t="str">
            <v>Mongolia</v>
          </cell>
        </row>
        <row r="136">
          <cell r="B136" t="str">
            <v>Morocco</v>
          </cell>
        </row>
        <row r="137">
          <cell r="B137" t="str">
            <v>Mozambique</v>
          </cell>
        </row>
        <row r="138">
          <cell r="B138" t="str">
            <v>Myanmar</v>
          </cell>
        </row>
        <row r="139">
          <cell r="B139" t="str">
            <v>Namibia</v>
          </cell>
        </row>
        <row r="140">
          <cell r="B140" t="str">
            <v>Nepal</v>
          </cell>
        </row>
        <row r="141">
          <cell r="B141" t="str">
            <v>New Caledonia</v>
          </cell>
        </row>
        <row r="142">
          <cell r="B142" t="str">
            <v>Nicaragua</v>
          </cell>
        </row>
        <row r="143">
          <cell r="B143" t="str">
            <v>Nigeria</v>
          </cell>
        </row>
        <row r="144">
          <cell r="B144" t="str">
            <v>North Korea</v>
          </cell>
        </row>
        <row r="145">
          <cell r="B145" t="str">
            <v>Oman</v>
          </cell>
        </row>
        <row r="146">
          <cell r="B146" t="str">
            <v>Pakistan</v>
          </cell>
        </row>
        <row r="147">
          <cell r="B147" t="str">
            <v>Panama</v>
          </cell>
        </row>
        <row r="148">
          <cell r="B148" t="str">
            <v>Papua New Guinea</v>
          </cell>
        </row>
        <row r="149">
          <cell r="B149" t="str">
            <v>Paraguay</v>
          </cell>
        </row>
        <row r="150">
          <cell r="B150" t="str">
            <v>Peru</v>
          </cell>
        </row>
        <row r="151">
          <cell r="B151" t="str">
            <v>Qatar</v>
          </cell>
        </row>
        <row r="152">
          <cell r="B152" t="str">
            <v>Rwanda</v>
          </cell>
        </row>
        <row r="153">
          <cell r="B153" t="str">
            <v>Saint Helena</v>
          </cell>
        </row>
        <row r="154">
          <cell r="B154" t="str">
            <v>Samoa</v>
          </cell>
        </row>
        <row r="155">
          <cell r="B155" t="str">
            <v>Sao Tome and PrÃ­ncipe</v>
          </cell>
        </row>
        <row r="156">
          <cell r="B156" t="str">
            <v>Saudi Arabia</v>
          </cell>
        </row>
        <row r="157">
          <cell r="B157" t="str">
            <v>Serbia (Republic of)</v>
          </cell>
        </row>
        <row r="158">
          <cell r="B158" t="str">
            <v>Seychelles</v>
          </cell>
        </row>
        <row r="159">
          <cell r="B159" t="str">
            <v>Sierra Leone</v>
          </cell>
        </row>
        <row r="160">
          <cell r="B160" t="str">
            <v>Solomon Islands</v>
          </cell>
        </row>
        <row r="161">
          <cell r="B161" t="str">
            <v>Somalia</v>
          </cell>
        </row>
        <row r="162">
          <cell r="B162" t="str">
            <v>South Soudan</v>
          </cell>
        </row>
        <row r="163">
          <cell r="B163" t="str">
            <v>Sri Lanka</v>
          </cell>
        </row>
        <row r="164">
          <cell r="B164" t="str">
            <v>Sudan</v>
          </cell>
        </row>
        <row r="165">
          <cell r="B165" t="str">
            <v>Suriname</v>
          </cell>
        </row>
        <row r="166">
          <cell r="B166" t="str">
            <v>Swaziland</v>
          </cell>
        </row>
        <row r="167">
          <cell r="B167" t="str">
            <v>Syria</v>
          </cell>
        </row>
        <row r="168">
          <cell r="B168" t="str">
            <v>Tajikistan</v>
          </cell>
        </row>
        <row r="169">
          <cell r="B169" t="str">
            <v>Tanzania</v>
          </cell>
        </row>
        <row r="170">
          <cell r="B170" t="str">
            <v>Tonga</v>
          </cell>
        </row>
        <row r="171">
          <cell r="B171" t="str">
            <v>Trinidad and Tobago</v>
          </cell>
        </row>
        <row r="172">
          <cell r="B172" t="str">
            <v>Tunisia</v>
          </cell>
        </row>
        <row r="173">
          <cell r="B173" t="str">
            <v>Turkmenistan</v>
          </cell>
        </row>
        <row r="174">
          <cell r="B174" t="str">
            <v>Uganda</v>
          </cell>
        </row>
        <row r="175">
          <cell r="B175" t="str">
            <v>Ukraine</v>
          </cell>
        </row>
        <row r="176">
          <cell r="B176" t="str">
            <v>United Arab Emirates</v>
          </cell>
        </row>
        <row r="177">
          <cell r="B177" t="str">
            <v>Uruguay</v>
          </cell>
        </row>
        <row r="178">
          <cell r="B178" t="str">
            <v>Uzbekistan</v>
          </cell>
        </row>
        <row r="179">
          <cell r="B179" t="str">
            <v>Vanuatu</v>
          </cell>
        </row>
        <row r="180">
          <cell r="B180" t="str">
            <v>Venezuela</v>
          </cell>
        </row>
        <row r="181">
          <cell r="B181" t="str">
            <v>Vietnam</v>
          </cell>
        </row>
        <row r="182">
          <cell r="B182" t="str">
            <v>Yemen</v>
          </cell>
        </row>
        <row r="183">
          <cell r="B183" t="str">
            <v>Zambia</v>
          </cell>
        </row>
        <row r="184">
          <cell r="B184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sqref="A1:XFD15"/>
    </sheetView>
  </sheetViews>
  <sheetFormatPr defaultColWidth="8.7109375" defaultRowHeight="15" x14ac:dyDescent="0.25"/>
  <cols>
    <col min="1" max="1" width="27.7109375" style="29" customWidth="1"/>
    <col min="2" max="2" width="9.7109375" style="25" bestFit="1" customWidth="1"/>
    <col min="3" max="3" width="17.85546875" style="25" customWidth="1"/>
    <col min="4" max="4" width="11.5703125" style="25" bestFit="1" customWidth="1"/>
    <col min="5" max="5" width="16.140625" style="25" customWidth="1"/>
    <col min="6" max="6" width="17.5703125" style="25" bestFit="1" customWidth="1"/>
    <col min="7" max="7" width="18.42578125" style="25" bestFit="1" customWidth="1"/>
    <col min="8" max="8" width="12.28515625" style="25" bestFit="1" customWidth="1"/>
    <col min="9" max="9" width="35" style="25" customWidth="1"/>
    <col min="10" max="10" width="41.7109375" style="25" customWidth="1"/>
    <col min="11" max="11" width="27" style="25" customWidth="1"/>
    <col min="12" max="12" width="33.28515625" style="25" customWidth="1"/>
    <col min="13" max="13" width="27.7109375" style="25" customWidth="1"/>
    <col min="14" max="16384" width="8.7109375" style="25"/>
  </cols>
  <sheetData>
    <row r="1" spans="1:14" x14ac:dyDescent="0.25">
      <c r="A1" s="1" t="s">
        <v>56</v>
      </c>
      <c r="B1" s="1" t="s">
        <v>55</v>
      </c>
      <c r="C1" s="1" t="s">
        <v>57</v>
      </c>
      <c r="D1" s="1" t="s">
        <v>58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59</v>
      </c>
      <c r="N1" s="26"/>
    </row>
    <row r="2" spans="1:14" x14ac:dyDescent="0.25">
      <c r="A2" s="8" t="s">
        <v>38</v>
      </c>
      <c r="B2" s="8" t="s">
        <v>65</v>
      </c>
      <c r="C2" s="5">
        <v>42871</v>
      </c>
      <c r="D2" s="5">
        <v>42873</v>
      </c>
      <c r="E2" s="3">
        <v>193</v>
      </c>
      <c r="F2" s="3">
        <v>210</v>
      </c>
      <c r="G2" s="3">
        <v>219.3</v>
      </c>
      <c r="H2" s="9">
        <f>SUM(E2:G2)</f>
        <v>622.29999999999995</v>
      </c>
      <c r="I2" s="10" t="s">
        <v>66</v>
      </c>
      <c r="J2" s="27"/>
    </row>
    <row r="3" spans="1:14" x14ac:dyDescent="0.25">
      <c r="A3" s="8" t="s">
        <v>67</v>
      </c>
      <c r="B3" s="8" t="s">
        <v>68</v>
      </c>
      <c r="C3" s="5">
        <v>42884</v>
      </c>
      <c r="D3" s="5">
        <v>42885</v>
      </c>
      <c r="E3" s="3">
        <v>699.89</v>
      </c>
      <c r="F3" s="3">
        <v>0</v>
      </c>
      <c r="G3" s="3">
        <v>176</v>
      </c>
      <c r="H3" s="9">
        <f>SUM(E3:G3)</f>
        <v>875.89</v>
      </c>
      <c r="I3" s="11" t="s">
        <v>129</v>
      </c>
      <c r="J3" s="28" t="s">
        <v>69</v>
      </c>
    </row>
    <row r="4" spans="1:14" ht="30" x14ac:dyDescent="0.25">
      <c r="A4" s="8" t="s">
        <v>70</v>
      </c>
      <c r="B4" s="8" t="s">
        <v>71</v>
      </c>
      <c r="C4" s="5">
        <v>42822</v>
      </c>
      <c r="D4" s="5">
        <v>42824</v>
      </c>
      <c r="E4" s="3">
        <v>663.02</v>
      </c>
      <c r="F4" s="3">
        <v>193</v>
      </c>
      <c r="G4" s="3">
        <v>124</v>
      </c>
      <c r="H4" s="9">
        <f>SUM(E4:G4)</f>
        <v>980.02</v>
      </c>
      <c r="I4" s="11" t="s">
        <v>72</v>
      </c>
      <c r="J4" s="14"/>
    </row>
    <row r="5" spans="1:14" ht="45" x14ac:dyDescent="0.25">
      <c r="A5" s="8" t="s">
        <v>24</v>
      </c>
      <c r="B5" s="8" t="s">
        <v>73</v>
      </c>
      <c r="C5" s="5">
        <v>42816</v>
      </c>
      <c r="D5" s="5">
        <v>42816</v>
      </c>
      <c r="E5" s="3">
        <v>540.55999999999995</v>
      </c>
      <c r="F5" s="3">
        <f>223+4</f>
        <v>227</v>
      </c>
      <c r="G5" s="3">
        <v>137.69999999999999</v>
      </c>
      <c r="H5" s="9">
        <f>SUM(E5:G5)</f>
        <v>905.26</v>
      </c>
      <c r="I5" s="11" t="s">
        <v>128</v>
      </c>
      <c r="J5" s="14"/>
    </row>
    <row r="6" spans="1:14" x14ac:dyDescent="0.25">
      <c r="A6" s="8" t="s">
        <v>135</v>
      </c>
      <c r="B6" s="8" t="s">
        <v>74</v>
      </c>
      <c r="C6" s="5">
        <v>42818</v>
      </c>
      <c r="D6" s="5">
        <v>42818</v>
      </c>
      <c r="E6" s="3">
        <v>728.75</v>
      </c>
      <c r="F6" s="3">
        <v>148</v>
      </c>
      <c r="G6" s="3">
        <v>84</v>
      </c>
      <c r="H6" s="9">
        <f t="shared" ref="H6:H11" si="0">SUM(E6:G6)</f>
        <v>960.75</v>
      </c>
      <c r="I6" s="11" t="s">
        <v>75</v>
      </c>
      <c r="J6" s="14"/>
    </row>
    <row r="7" spans="1:14" ht="120" x14ac:dyDescent="0.25">
      <c r="A7" s="8" t="s">
        <v>51</v>
      </c>
      <c r="B7" s="8" t="s">
        <v>52</v>
      </c>
      <c r="C7" s="5">
        <v>42900</v>
      </c>
      <c r="D7" s="5">
        <v>42901</v>
      </c>
      <c r="E7" s="3">
        <v>237.68</v>
      </c>
      <c r="F7" s="3">
        <v>253</v>
      </c>
      <c r="G7" s="3">
        <v>0</v>
      </c>
      <c r="H7" s="9">
        <f t="shared" si="0"/>
        <v>490.68</v>
      </c>
      <c r="I7" s="11" t="s">
        <v>76</v>
      </c>
      <c r="J7" s="14" t="s">
        <v>116</v>
      </c>
    </row>
    <row r="8" spans="1:14" ht="30" x14ac:dyDescent="0.25">
      <c r="A8" s="8" t="s">
        <v>67</v>
      </c>
      <c r="B8" s="8" t="s">
        <v>67</v>
      </c>
      <c r="C8" s="5">
        <v>42863</v>
      </c>
      <c r="D8" s="5">
        <v>42865</v>
      </c>
      <c r="E8" s="3">
        <v>571.15</v>
      </c>
      <c r="F8" s="3">
        <v>383</v>
      </c>
      <c r="G8" s="3">
        <v>132</v>
      </c>
      <c r="H8" s="9">
        <f t="shared" si="0"/>
        <v>1086.1500000000001</v>
      </c>
      <c r="I8" s="11" t="s">
        <v>77</v>
      </c>
      <c r="J8" s="14"/>
    </row>
    <row r="9" spans="1:14" ht="90" x14ac:dyDescent="0.25">
      <c r="A9" s="8" t="s">
        <v>38</v>
      </c>
      <c r="B9" s="8" t="s">
        <v>39</v>
      </c>
      <c r="C9" s="5">
        <v>42919</v>
      </c>
      <c r="D9" s="5">
        <v>42920</v>
      </c>
      <c r="E9" s="3">
        <v>102.5</v>
      </c>
      <c r="F9" s="3">
        <v>5.5</v>
      </c>
      <c r="G9" s="3">
        <v>0</v>
      </c>
      <c r="H9" s="9">
        <f t="shared" si="0"/>
        <v>108</v>
      </c>
      <c r="I9" s="11" t="s">
        <v>78</v>
      </c>
      <c r="J9" s="14" t="s">
        <v>112</v>
      </c>
    </row>
    <row r="10" spans="1:14" ht="60" x14ac:dyDescent="0.25">
      <c r="A10" s="8" t="s">
        <v>34</v>
      </c>
      <c r="B10" s="8" t="s">
        <v>35</v>
      </c>
      <c r="C10" s="5">
        <v>42908</v>
      </c>
      <c r="D10" s="5">
        <v>42909</v>
      </c>
      <c r="E10" s="3">
        <v>454.49</v>
      </c>
      <c r="F10" s="3">
        <v>5.5</v>
      </c>
      <c r="G10" s="3">
        <v>0</v>
      </c>
      <c r="H10" s="9">
        <f t="shared" si="0"/>
        <v>459.99</v>
      </c>
      <c r="I10" s="11" t="s">
        <v>79</v>
      </c>
      <c r="J10" s="14" t="s">
        <v>112</v>
      </c>
    </row>
    <row r="11" spans="1:14" ht="30" x14ac:dyDescent="0.25">
      <c r="A11" s="8" t="s">
        <v>70</v>
      </c>
      <c r="B11" s="8" t="s">
        <v>71</v>
      </c>
      <c r="C11" s="5">
        <v>43053</v>
      </c>
      <c r="D11" s="5">
        <v>43055</v>
      </c>
      <c r="E11" s="3">
        <v>433.39</v>
      </c>
      <c r="F11" s="12">
        <v>133</v>
      </c>
      <c r="G11" s="12">
        <v>120</v>
      </c>
      <c r="H11" s="9">
        <f t="shared" si="0"/>
        <v>686.39</v>
      </c>
      <c r="I11" s="11" t="s">
        <v>80</v>
      </c>
      <c r="J11" s="14"/>
    </row>
    <row r="13" spans="1:14" ht="150" x14ac:dyDescent="0.25">
      <c r="A13" s="29" t="s">
        <v>117</v>
      </c>
    </row>
    <row r="15" spans="1:14" ht="105" x14ac:dyDescent="0.25">
      <c r="A15" s="30" t="s">
        <v>136</v>
      </c>
    </row>
  </sheetData>
  <sheetProtection sheet="1" objects="1" scenarios="1" selectLockedCells="1" selectUnlockedCells="1"/>
  <dataValidations count="6">
    <dataValidation allowBlank="1" showInputMessage="1" showErrorMessage="1" prompt="Enter from mission claim (in EUR)" sqref="G2:G11"/>
    <dataValidation allowBlank="1" showInputMessage="1" showErrorMessage="1" prompt="Enter actual accommodation costs (in EUR). Data to be taken from Mission Claim or Travel Agent invoice." sqref="F2 F4:F8"/>
    <dataValidation type="decimal" operator="greaterThanOrEqual" allowBlank="1" showInputMessage="1" showErrorMessage="1" sqref="E2:E11 F3 F9:F11">
      <formula1>0</formula1>
    </dataValidation>
    <dataValidation type="list" allowBlank="1" showInputMessage="1" showErrorMessage="1" sqref="D3:D4 D7:D8 D11">
      <formula1>Countries</formula1>
    </dataValidation>
    <dataValidation type="date" allowBlank="1" showInputMessage="1" showErrorMessage="1" prompt="Meeting start data (dd/mm/yyyy)_x000a_" sqref="C2:C10 D2 D5:D6 D9:D10">
      <formula1>42736</formula1>
      <formula2>43190</formula2>
    </dataValidation>
    <dataValidation type="list" allowBlank="1" showInputMessage="1" showErrorMessage="1" prompt="Choose from the drop down meny_x000a_" sqref="A2:A10 B8">
      <formula1>Countries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"/>
  <sheetViews>
    <sheetView workbookViewId="0">
      <selection activeCell="H2" sqref="H2"/>
    </sheetView>
  </sheetViews>
  <sheetFormatPr defaultColWidth="8.7109375" defaultRowHeight="15" x14ac:dyDescent="0.25"/>
  <cols>
    <col min="1" max="1" width="16.28515625" style="25" customWidth="1"/>
    <col min="2" max="2" width="12.42578125" style="25" bestFit="1" customWidth="1"/>
    <col min="3" max="3" width="11.5703125" style="25" bestFit="1" customWidth="1"/>
    <col min="4" max="4" width="10.7109375" style="25" bestFit="1" customWidth="1"/>
    <col min="5" max="5" width="17.5703125" style="25" bestFit="1" customWidth="1"/>
    <col min="6" max="6" width="18.42578125" style="25" bestFit="1" customWidth="1"/>
    <col min="7" max="7" width="16.42578125" style="25" bestFit="1" customWidth="1"/>
    <col min="8" max="8" width="18.140625" style="25" bestFit="1" customWidth="1"/>
    <col min="9" max="9" width="12" style="25" bestFit="1" customWidth="1"/>
    <col min="10" max="10" width="31.42578125" style="29" customWidth="1"/>
    <col min="11" max="11" width="32.28515625" style="29" customWidth="1"/>
    <col min="12" max="16384" width="8.7109375" style="25"/>
  </cols>
  <sheetData>
    <row r="1" spans="1:14" x14ac:dyDescent="0.25">
      <c r="A1" s="1" t="s">
        <v>56</v>
      </c>
      <c r="B1" s="1" t="s">
        <v>55</v>
      </c>
      <c r="C1" s="1" t="s">
        <v>57</v>
      </c>
      <c r="D1" s="1" t="s">
        <v>58</v>
      </c>
      <c r="E1" s="1" t="s">
        <v>0</v>
      </c>
      <c r="F1" s="1" t="s">
        <v>1</v>
      </c>
      <c r="G1" s="1" t="s">
        <v>81</v>
      </c>
      <c r="H1" s="1" t="s">
        <v>82</v>
      </c>
      <c r="I1" s="1" t="s">
        <v>3</v>
      </c>
      <c r="J1" s="13" t="s">
        <v>4</v>
      </c>
      <c r="K1" s="13" t="s">
        <v>59</v>
      </c>
      <c r="N1" s="26"/>
    </row>
    <row r="2" spans="1:14" x14ac:dyDescent="0.25">
      <c r="A2" s="8" t="s">
        <v>42</v>
      </c>
      <c r="B2" s="8" t="s">
        <v>83</v>
      </c>
      <c r="C2" s="5">
        <v>42908</v>
      </c>
      <c r="D2" s="5">
        <v>42909</v>
      </c>
      <c r="E2" s="3">
        <f>258.54+133</f>
        <v>391.54</v>
      </c>
      <c r="F2" s="3">
        <v>0</v>
      </c>
      <c r="G2" s="27"/>
      <c r="H2" s="3"/>
      <c r="I2" s="9">
        <f t="shared" ref="I2:I22" si="0">SUM(E2:H2)</f>
        <v>391.54</v>
      </c>
      <c r="J2" s="11" t="s">
        <v>84</v>
      </c>
      <c r="K2" s="28" t="s">
        <v>112</v>
      </c>
      <c r="L2" s="16"/>
      <c r="M2" s="16"/>
      <c r="N2" s="16"/>
    </row>
    <row r="3" spans="1:14" ht="30" x14ac:dyDescent="0.25">
      <c r="A3" s="8" t="s">
        <v>85</v>
      </c>
      <c r="B3" s="8" t="s">
        <v>71</v>
      </c>
      <c r="C3" s="5">
        <v>42935</v>
      </c>
      <c r="D3" s="5">
        <v>42937</v>
      </c>
      <c r="E3" s="3">
        <v>340.95</v>
      </c>
      <c r="F3" s="3">
        <v>233</v>
      </c>
      <c r="G3" s="3">
        <v>104</v>
      </c>
      <c r="H3" s="3">
        <v>17.899999999999999</v>
      </c>
      <c r="I3" s="9">
        <f t="shared" si="0"/>
        <v>695.85</v>
      </c>
      <c r="J3" s="11" t="s">
        <v>86</v>
      </c>
      <c r="K3" s="28"/>
      <c r="L3" s="16"/>
      <c r="M3" s="16"/>
      <c r="N3" s="16"/>
    </row>
    <row r="4" spans="1:14" x14ac:dyDescent="0.25">
      <c r="A4" s="8" t="s">
        <v>26</v>
      </c>
      <c r="B4" s="8" t="s">
        <v>25</v>
      </c>
      <c r="C4" s="5">
        <v>42905</v>
      </c>
      <c r="D4" s="5">
        <v>42906</v>
      </c>
      <c r="E4" s="3">
        <v>503.85</v>
      </c>
      <c r="F4" s="3">
        <v>217.24</v>
      </c>
      <c r="G4" s="3">
        <v>107.1</v>
      </c>
      <c r="H4" s="3">
        <f>24.56+18.47+7.5+10.7</f>
        <v>61.230000000000004</v>
      </c>
      <c r="I4" s="9">
        <f t="shared" si="0"/>
        <v>889.42000000000007</v>
      </c>
      <c r="J4" s="11" t="s">
        <v>87</v>
      </c>
      <c r="K4" s="28"/>
      <c r="L4" s="16"/>
      <c r="M4" s="16"/>
      <c r="N4" s="16"/>
    </row>
    <row r="5" spans="1:14" ht="45" x14ac:dyDescent="0.25">
      <c r="A5" s="8" t="s">
        <v>38</v>
      </c>
      <c r="B5" s="8" t="s">
        <v>88</v>
      </c>
      <c r="C5" s="5">
        <v>42919</v>
      </c>
      <c r="D5" s="5">
        <v>42920</v>
      </c>
      <c r="E5" s="3">
        <v>139.91</v>
      </c>
      <c r="F5" s="3">
        <v>121</v>
      </c>
      <c r="G5" s="3">
        <v>51</v>
      </c>
      <c r="H5" s="3">
        <f>12+2.2+46+4.19</f>
        <v>64.39</v>
      </c>
      <c r="I5" s="9">
        <f t="shared" si="0"/>
        <v>376.29999999999995</v>
      </c>
      <c r="J5" s="11" t="s">
        <v>78</v>
      </c>
      <c r="K5" s="28"/>
      <c r="L5" s="16"/>
      <c r="M5" s="16"/>
      <c r="N5" s="16"/>
    </row>
    <row r="6" spans="1:14" ht="30" x14ac:dyDescent="0.25">
      <c r="A6" s="8" t="s">
        <v>34</v>
      </c>
      <c r="B6" s="8" t="s">
        <v>35</v>
      </c>
      <c r="C6" s="5">
        <v>42907</v>
      </c>
      <c r="D6" s="5">
        <v>42909</v>
      </c>
      <c r="E6" s="3">
        <v>231.62</v>
      </c>
      <c r="F6" s="3">
        <v>0</v>
      </c>
      <c r="G6" s="3"/>
      <c r="H6" s="3"/>
      <c r="I6" s="9">
        <f t="shared" si="0"/>
        <v>231.62</v>
      </c>
      <c r="J6" s="11" t="s">
        <v>79</v>
      </c>
      <c r="K6" s="28" t="s">
        <v>112</v>
      </c>
      <c r="L6" s="16"/>
      <c r="M6" s="16"/>
      <c r="N6" s="16"/>
    </row>
    <row r="7" spans="1:14" ht="45" x14ac:dyDescent="0.25">
      <c r="A7" s="8"/>
      <c r="B7" s="8" t="s">
        <v>23</v>
      </c>
      <c r="C7" s="5">
        <v>42984</v>
      </c>
      <c r="D7" s="5">
        <v>42985</v>
      </c>
      <c r="E7" s="3">
        <f>620.31+139.4</f>
        <v>759.70999999999992</v>
      </c>
      <c r="F7" s="3">
        <v>128.85</v>
      </c>
      <c r="G7" s="3">
        <v>128.75</v>
      </c>
      <c r="H7" s="3">
        <f>19.14+47.5+15.25+15.1+18.61</f>
        <v>115.6</v>
      </c>
      <c r="I7" s="9">
        <f t="shared" si="0"/>
        <v>1132.9099999999999</v>
      </c>
      <c r="J7" s="11" t="s">
        <v>118</v>
      </c>
      <c r="K7" s="28"/>
      <c r="L7" s="16"/>
      <c r="M7" s="16"/>
      <c r="N7" s="16"/>
    </row>
    <row r="8" spans="1:14" ht="30" x14ac:dyDescent="0.25">
      <c r="A8" s="8" t="s">
        <v>89</v>
      </c>
      <c r="B8" s="8" t="s">
        <v>37</v>
      </c>
      <c r="C8" s="5">
        <v>42988</v>
      </c>
      <c r="D8" s="5">
        <v>42989</v>
      </c>
      <c r="E8" s="3">
        <v>320.25</v>
      </c>
      <c r="F8" s="3">
        <v>83.7</v>
      </c>
      <c r="G8" s="3"/>
      <c r="H8" s="3"/>
      <c r="I8" s="9">
        <f t="shared" si="0"/>
        <v>403.95</v>
      </c>
      <c r="J8" s="11" t="s">
        <v>90</v>
      </c>
      <c r="K8" s="28"/>
      <c r="L8" s="16"/>
      <c r="M8" s="16"/>
      <c r="N8" s="16"/>
    </row>
    <row r="9" spans="1:14" ht="30" x14ac:dyDescent="0.25">
      <c r="A9" s="8" t="s">
        <v>91</v>
      </c>
      <c r="B9" s="8" t="s">
        <v>92</v>
      </c>
      <c r="C9" s="5">
        <v>42974</v>
      </c>
      <c r="D9" s="5">
        <v>42976</v>
      </c>
      <c r="E9" s="3">
        <f>387.06+742.34</f>
        <v>1129.4000000000001</v>
      </c>
      <c r="F9" s="3">
        <v>653</v>
      </c>
      <c r="G9" s="3">
        <v>140</v>
      </c>
      <c r="H9" s="3">
        <f>18.4+19.41</f>
        <v>37.81</v>
      </c>
      <c r="I9" s="9">
        <f t="shared" si="0"/>
        <v>1960.21</v>
      </c>
      <c r="J9" s="11" t="s">
        <v>93</v>
      </c>
      <c r="K9" s="28"/>
      <c r="L9" s="16"/>
      <c r="M9" s="16"/>
      <c r="N9" s="16"/>
    </row>
    <row r="10" spans="1:14" s="16" customFormat="1" ht="30" x14ac:dyDescent="0.25">
      <c r="A10" s="8" t="s">
        <v>94</v>
      </c>
      <c r="B10" s="8" t="s">
        <v>88</v>
      </c>
      <c r="C10" s="5">
        <v>42992</v>
      </c>
      <c r="D10" s="5">
        <v>42993</v>
      </c>
      <c r="E10" s="3">
        <v>119.99</v>
      </c>
      <c r="F10" s="3">
        <v>136</v>
      </c>
      <c r="G10" s="3">
        <v>107.1</v>
      </c>
      <c r="H10" s="3">
        <v>36</v>
      </c>
      <c r="I10" s="9">
        <f t="shared" si="0"/>
        <v>399.09000000000003</v>
      </c>
      <c r="J10" s="11" t="s">
        <v>95</v>
      </c>
      <c r="K10" s="14"/>
    </row>
    <row r="11" spans="1:14" x14ac:dyDescent="0.25">
      <c r="A11" s="8" t="s">
        <v>134</v>
      </c>
      <c r="B11" s="8" t="s">
        <v>96</v>
      </c>
      <c r="C11" s="5">
        <v>42978</v>
      </c>
      <c r="D11" s="5">
        <v>42979</v>
      </c>
      <c r="E11" s="3">
        <v>438.84</v>
      </c>
      <c r="F11" s="3">
        <f>76.5+4.63</f>
        <v>81.13</v>
      </c>
      <c r="G11" s="3">
        <v>84</v>
      </c>
      <c r="H11" s="3">
        <v>24.86</v>
      </c>
      <c r="I11" s="9">
        <f t="shared" si="0"/>
        <v>628.83000000000004</v>
      </c>
      <c r="J11" s="11" t="s">
        <v>97</v>
      </c>
      <c r="K11" s="28"/>
    </row>
    <row r="12" spans="1:14" ht="30" x14ac:dyDescent="0.25">
      <c r="A12" s="8" t="s">
        <v>98</v>
      </c>
      <c r="B12" s="8" t="s">
        <v>99</v>
      </c>
      <c r="C12" s="5">
        <v>42991</v>
      </c>
      <c r="D12" s="5">
        <v>42992</v>
      </c>
      <c r="E12" s="3">
        <f>468.99+726.99</f>
        <v>1195.98</v>
      </c>
      <c r="F12" s="3">
        <v>300.88</v>
      </c>
      <c r="G12" s="3">
        <v>56.95</v>
      </c>
      <c r="H12" s="3">
        <f>22+13.13+8.64</f>
        <v>43.77</v>
      </c>
      <c r="I12" s="9">
        <f t="shared" si="0"/>
        <v>1597.5800000000002</v>
      </c>
      <c r="J12" s="11" t="s">
        <v>100</v>
      </c>
      <c r="K12" s="28"/>
    </row>
    <row r="13" spans="1:14" ht="30" x14ac:dyDescent="0.25">
      <c r="A13" s="8" t="s">
        <v>36</v>
      </c>
      <c r="B13" s="8" t="s">
        <v>37</v>
      </c>
      <c r="C13" s="5">
        <v>43019</v>
      </c>
      <c r="D13" s="5">
        <v>43021</v>
      </c>
      <c r="E13" s="3">
        <f>704.24+237.66+223.69</f>
        <v>1165.5899999999999</v>
      </c>
      <c r="F13" s="3">
        <f>249+148</f>
        <v>397</v>
      </c>
      <c r="G13" s="3">
        <f>97+149.6-44</f>
        <v>202.6</v>
      </c>
      <c r="H13" s="3">
        <f>26.2+30.35</f>
        <v>56.55</v>
      </c>
      <c r="I13" s="9">
        <f t="shared" si="0"/>
        <v>1821.7399999999998</v>
      </c>
      <c r="J13" s="11" t="s">
        <v>101</v>
      </c>
      <c r="K13" s="28"/>
    </row>
    <row r="14" spans="1:14" ht="45" x14ac:dyDescent="0.25">
      <c r="A14" s="24" t="s">
        <v>113</v>
      </c>
      <c r="B14" s="24" t="s">
        <v>114</v>
      </c>
      <c r="C14" s="5">
        <v>43066</v>
      </c>
      <c r="D14" s="5">
        <v>43068</v>
      </c>
      <c r="E14" s="3">
        <f>105.51+359.28</f>
        <v>464.78999999999996</v>
      </c>
      <c r="F14" s="3">
        <v>281</v>
      </c>
      <c r="G14" s="3">
        <f>(62.25-41.5)+97</f>
        <v>117.75</v>
      </c>
      <c r="H14" s="3">
        <f>18.4+19.29</f>
        <v>37.69</v>
      </c>
      <c r="I14" s="9">
        <f t="shared" si="0"/>
        <v>901.23</v>
      </c>
      <c r="J14" s="11" t="s">
        <v>102</v>
      </c>
      <c r="K14" s="28"/>
    </row>
    <row r="15" spans="1:14" x14ac:dyDescent="0.25">
      <c r="A15" s="8" t="s">
        <v>26</v>
      </c>
      <c r="B15" s="8" t="s">
        <v>25</v>
      </c>
      <c r="C15" s="5">
        <v>43002</v>
      </c>
      <c r="D15" s="5">
        <v>43004</v>
      </c>
      <c r="E15" s="3">
        <f>314.18+94.5</f>
        <v>408.68</v>
      </c>
      <c r="F15" s="3">
        <v>340.5</v>
      </c>
      <c r="G15" s="3">
        <v>224.4</v>
      </c>
      <c r="H15" s="3">
        <f>21.07+4.5</f>
        <v>25.57</v>
      </c>
      <c r="I15" s="9">
        <f t="shared" si="0"/>
        <v>999.15000000000009</v>
      </c>
      <c r="J15" s="11" t="s">
        <v>87</v>
      </c>
      <c r="K15" s="28"/>
    </row>
    <row r="16" spans="1:14" x14ac:dyDescent="0.25">
      <c r="A16" s="8" t="s">
        <v>24</v>
      </c>
      <c r="B16" s="8" t="s">
        <v>25</v>
      </c>
      <c r="C16" s="5">
        <v>43026</v>
      </c>
      <c r="D16" s="5">
        <v>43027</v>
      </c>
      <c r="E16" s="3">
        <f>84.84+94.5</f>
        <v>179.34</v>
      </c>
      <c r="F16" s="3">
        <f>218+4.24</f>
        <v>222.24</v>
      </c>
      <c r="G16" s="3">
        <v>137.69999999999999</v>
      </c>
      <c r="H16" s="3">
        <f>87.55+24.14</f>
        <v>111.69</v>
      </c>
      <c r="I16" s="9">
        <f t="shared" si="0"/>
        <v>650.97</v>
      </c>
      <c r="J16" s="11" t="s">
        <v>103</v>
      </c>
      <c r="K16" s="28"/>
    </row>
    <row r="17" spans="1:11" x14ac:dyDescent="0.25">
      <c r="A17" s="8" t="s">
        <v>70</v>
      </c>
      <c r="B17" s="8" t="s">
        <v>71</v>
      </c>
      <c r="C17" s="5">
        <v>43053</v>
      </c>
      <c r="D17" s="5">
        <v>43055</v>
      </c>
      <c r="E17" s="3">
        <v>403.32</v>
      </c>
      <c r="F17" s="3">
        <v>133</v>
      </c>
      <c r="G17" s="3">
        <v>120</v>
      </c>
      <c r="H17" s="3">
        <v>18.36</v>
      </c>
      <c r="I17" s="9">
        <f t="shared" si="0"/>
        <v>674.68</v>
      </c>
      <c r="J17" s="11" t="s">
        <v>104</v>
      </c>
      <c r="K17" s="28"/>
    </row>
    <row r="18" spans="1:11" ht="30" x14ac:dyDescent="0.25">
      <c r="A18" s="8" t="s">
        <v>38</v>
      </c>
      <c r="B18" s="8" t="s">
        <v>39</v>
      </c>
      <c r="C18" s="5">
        <v>43070</v>
      </c>
      <c r="D18" s="5">
        <v>43070</v>
      </c>
      <c r="E18" s="3">
        <v>199.99</v>
      </c>
      <c r="F18" s="3"/>
      <c r="G18" s="3"/>
      <c r="H18" s="3"/>
      <c r="I18" s="9">
        <f t="shared" si="0"/>
        <v>199.99</v>
      </c>
      <c r="J18" s="11" t="s">
        <v>105</v>
      </c>
      <c r="K18" s="28" t="s">
        <v>112</v>
      </c>
    </row>
    <row r="19" spans="1:11" x14ac:dyDescent="0.25">
      <c r="A19" s="8" t="s">
        <v>42</v>
      </c>
      <c r="B19" s="8" t="s">
        <v>83</v>
      </c>
      <c r="C19" s="5">
        <v>43074</v>
      </c>
      <c r="D19" s="5">
        <v>43075</v>
      </c>
      <c r="E19" s="3">
        <f>859.08</f>
        <v>859.08</v>
      </c>
      <c r="F19" s="3">
        <v>145</v>
      </c>
      <c r="G19" s="3">
        <f>153</f>
        <v>153</v>
      </c>
      <c r="H19" s="3">
        <f>25.03+70+43.72</f>
        <v>138.75</v>
      </c>
      <c r="I19" s="9">
        <f t="shared" si="0"/>
        <v>1295.83</v>
      </c>
      <c r="J19" s="11" t="s">
        <v>106</v>
      </c>
      <c r="K19" s="28"/>
    </row>
    <row r="20" spans="1:11" x14ac:dyDescent="0.25">
      <c r="A20" s="8" t="s">
        <v>24</v>
      </c>
      <c r="B20" s="8" t="s">
        <v>73</v>
      </c>
      <c r="C20" s="5">
        <v>43059</v>
      </c>
      <c r="D20" s="5">
        <v>43060</v>
      </c>
      <c r="E20" s="3">
        <f>236.07+94.5</f>
        <v>330.57</v>
      </c>
      <c r="F20" s="3">
        <f>129.57+4.24</f>
        <v>133.81</v>
      </c>
      <c r="G20" s="3">
        <v>137.69999999999999</v>
      </c>
      <c r="H20" s="3">
        <f>10.7+18.07</f>
        <v>28.77</v>
      </c>
      <c r="I20" s="9">
        <f t="shared" si="0"/>
        <v>630.84999999999991</v>
      </c>
      <c r="J20" s="11" t="s">
        <v>87</v>
      </c>
      <c r="K20" s="28"/>
    </row>
    <row r="21" spans="1:11" s="16" customFormat="1" ht="30" x14ac:dyDescent="0.25">
      <c r="A21" s="8" t="s">
        <v>107</v>
      </c>
      <c r="B21" s="8" t="s">
        <v>29</v>
      </c>
      <c r="C21" s="5">
        <v>43075</v>
      </c>
      <c r="D21" s="5">
        <v>43076</v>
      </c>
      <c r="E21" s="3"/>
      <c r="F21" s="3">
        <v>68</v>
      </c>
      <c r="G21" s="3">
        <v>31.35</v>
      </c>
      <c r="H21" s="3">
        <v>20.22</v>
      </c>
      <c r="I21" s="9">
        <f t="shared" si="0"/>
        <v>119.57</v>
      </c>
      <c r="J21" s="11" t="s">
        <v>108</v>
      </c>
      <c r="K21" s="14"/>
    </row>
    <row r="22" spans="1:11" x14ac:dyDescent="0.25">
      <c r="A22" s="8" t="s">
        <v>26</v>
      </c>
      <c r="B22" s="8" t="s">
        <v>25</v>
      </c>
      <c r="C22" s="5">
        <v>43082</v>
      </c>
      <c r="D22" s="5">
        <v>43083</v>
      </c>
      <c r="E22" s="3">
        <f>320.4+77.4</f>
        <v>397.79999999999995</v>
      </c>
      <c r="F22" s="3">
        <f>142.68+4.24</f>
        <v>146.92000000000002</v>
      </c>
      <c r="G22" s="3">
        <v>107.1</v>
      </c>
      <c r="H22" s="3">
        <f>24.87+8.8</f>
        <v>33.67</v>
      </c>
      <c r="I22" s="9">
        <f t="shared" si="0"/>
        <v>685.49</v>
      </c>
      <c r="J22" s="11" t="s">
        <v>109</v>
      </c>
      <c r="K22" s="28"/>
    </row>
  </sheetData>
  <sheetProtection sheet="1" objects="1" scenarios="1" selectLockedCells="1" selectUnlockedCells="1"/>
  <dataValidations count="5">
    <dataValidation allowBlank="1" showInputMessage="1" showErrorMessage="1" prompt="Enter from mission claim (in EUR)" sqref="H2 G3:H22"/>
    <dataValidation type="decimal" operator="greaterThanOrEqual" allowBlank="1" showInputMessage="1" showErrorMessage="1" sqref="E2:F13 E15:F22">
      <formula1>0</formula1>
    </dataValidation>
    <dataValidation type="date" allowBlank="1" showInputMessage="1" showErrorMessage="1" sqref="D15:D22 D2:D13">
      <formula1>42705</formula1>
      <formula2>43190</formula2>
    </dataValidation>
    <dataValidation type="date" operator="greaterThan" allowBlank="1" showInputMessage="1" showErrorMessage="1" sqref="C15:C22 C2:C13">
      <formula1>42736</formula1>
    </dataValidation>
    <dataValidation type="list" allowBlank="1" showInputMessage="1" showErrorMessage="1" prompt="Choose from the drop down meny_x000a_" sqref="A2:A3 A6">
      <formula1>Countries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pane ySplit="1" topLeftCell="A2" activePane="bottomLeft" state="frozen"/>
      <selection activeCell="D1" sqref="D1"/>
      <selection pane="bottomLeft" activeCell="G2" sqref="G2"/>
    </sheetView>
  </sheetViews>
  <sheetFormatPr defaultColWidth="9.140625" defaultRowHeight="15" x14ac:dyDescent="0.25"/>
  <cols>
    <col min="1" max="1" width="18.42578125" style="16" customWidth="1"/>
    <col min="2" max="2" width="17.85546875" style="16" customWidth="1"/>
    <col min="3" max="3" width="15.85546875" style="16" customWidth="1"/>
    <col min="4" max="4" width="17" style="16" customWidth="1"/>
    <col min="5" max="5" width="18.42578125" style="16" customWidth="1"/>
    <col min="6" max="6" width="19.28515625" style="16" customWidth="1"/>
    <col min="7" max="7" width="19.85546875" style="16" customWidth="1"/>
    <col min="8" max="9" width="15.7109375" style="16" customWidth="1"/>
    <col min="10" max="10" width="22.140625" style="16" customWidth="1"/>
    <col min="11" max="11" width="37.140625" style="23" customWidth="1"/>
    <col min="12" max="12" width="25.7109375" style="23" customWidth="1"/>
    <col min="13" max="16384" width="9.140625" style="16"/>
  </cols>
  <sheetData>
    <row r="1" spans="1:14" x14ac:dyDescent="0.25">
      <c r="A1" s="15" t="s">
        <v>56</v>
      </c>
      <c r="B1" s="15" t="s">
        <v>55</v>
      </c>
      <c r="C1" s="15" t="s">
        <v>57</v>
      </c>
      <c r="D1" s="15" t="s">
        <v>58</v>
      </c>
      <c r="E1" s="15" t="s">
        <v>0</v>
      </c>
      <c r="F1" s="15" t="s">
        <v>1</v>
      </c>
      <c r="G1" s="15" t="s">
        <v>2</v>
      </c>
      <c r="H1" s="15" t="s">
        <v>82</v>
      </c>
      <c r="I1" s="15" t="s">
        <v>3</v>
      </c>
      <c r="J1" s="19" t="s">
        <v>4</v>
      </c>
      <c r="K1" s="19" t="s">
        <v>59</v>
      </c>
      <c r="L1" s="16"/>
      <c r="N1" s="17"/>
    </row>
    <row r="2" spans="1:14" ht="45" x14ac:dyDescent="0.25">
      <c r="A2" s="8" t="s">
        <v>110</v>
      </c>
      <c r="B2" s="8" t="s">
        <v>110</v>
      </c>
      <c r="C2" s="5">
        <v>43116</v>
      </c>
      <c r="D2" s="5">
        <v>43116</v>
      </c>
      <c r="E2" s="3">
        <v>543.01</v>
      </c>
      <c r="F2" s="3"/>
      <c r="G2" s="3">
        <v>75.59</v>
      </c>
      <c r="H2" s="3"/>
      <c r="I2" s="9">
        <f>SUM(E2:H2)</f>
        <v>618.6</v>
      </c>
      <c r="J2" s="11" t="s">
        <v>115</v>
      </c>
      <c r="K2" s="14" t="s">
        <v>133</v>
      </c>
      <c r="L2" s="16"/>
    </row>
    <row r="3" spans="1:14" ht="30" x14ac:dyDescent="0.25">
      <c r="A3" s="6" t="s">
        <v>22</v>
      </c>
      <c r="B3" s="6" t="s">
        <v>23</v>
      </c>
      <c r="C3" s="5">
        <v>43130</v>
      </c>
      <c r="D3" s="5">
        <v>43131</v>
      </c>
      <c r="E3" s="2">
        <f>382.39+9.5+13.99</f>
        <v>405.88</v>
      </c>
      <c r="F3" s="3">
        <f>142.97+3.4</f>
        <v>146.37</v>
      </c>
      <c r="G3" s="3">
        <v>123.6</v>
      </c>
      <c r="H3" s="3">
        <f>24.17</f>
        <v>24.17</v>
      </c>
      <c r="I3" s="18">
        <f t="shared" ref="I3:I8" si="0">SUM(E3:H3)</f>
        <v>700.02</v>
      </c>
      <c r="J3" s="20" t="s">
        <v>5</v>
      </c>
      <c r="K3" s="14"/>
      <c r="L3" s="16"/>
    </row>
    <row r="4" spans="1:14" ht="45" x14ac:dyDescent="0.25">
      <c r="A4" s="6" t="s">
        <v>24</v>
      </c>
      <c r="B4" s="6" t="s">
        <v>25</v>
      </c>
      <c r="C4" s="5">
        <v>43150</v>
      </c>
      <c r="D4" s="5">
        <v>43153</v>
      </c>
      <c r="E4" s="2">
        <f>406.58+104.8</f>
        <v>511.38</v>
      </c>
      <c r="F4" s="3">
        <f>128.03+4.24+318.48</f>
        <v>450.75</v>
      </c>
      <c r="G4" s="3">
        <v>265.2</v>
      </c>
      <c r="H4" s="3">
        <f>9+86.55+22.23</f>
        <v>117.78</v>
      </c>
      <c r="I4" s="7">
        <f t="shared" si="0"/>
        <v>1345.11</v>
      </c>
      <c r="J4" s="21" t="s">
        <v>6</v>
      </c>
      <c r="K4" s="14"/>
      <c r="L4" s="16"/>
    </row>
    <row r="5" spans="1:14" x14ac:dyDescent="0.25">
      <c r="A5" s="6" t="s">
        <v>26</v>
      </c>
      <c r="B5" s="6" t="s">
        <v>25</v>
      </c>
      <c r="C5" s="5">
        <v>43157</v>
      </c>
      <c r="D5" s="5">
        <v>43158</v>
      </c>
      <c r="E5" s="2">
        <v>606.58000000000004</v>
      </c>
      <c r="F5" s="3">
        <v>144.24</v>
      </c>
      <c r="G5" s="3">
        <v>153</v>
      </c>
      <c r="H5" s="3">
        <f>23.52+9+21.26</f>
        <v>53.78</v>
      </c>
      <c r="I5" s="7">
        <f t="shared" si="0"/>
        <v>957.6</v>
      </c>
      <c r="J5" s="22" t="s">
        <v>7</v>
      </c>
      <c r="K5" s="14"/>
      <c r="L5" s="16"/>
    </row>
    <row r="6" spans="1:14" x14ac:dyDescent="0.25">
      <c r="A6" s="6" t="s">
        <v>27</v>
      </c>
      <c r="B6" s="6" t="s">
        <v>23</v>
      </c>
      <c r="C6" s="5">
        <v>43180</v>
      </c>
      <c r="D6" s="5">
        <v>43180</v>
      </c>
      <c r="E6" s="2">
        <v>481.11</v>
      </c>
      <c r="F6" s="3">
        <v>0</v>
      </c>
      <c r="G6" s="3">
        <v>103</v>
      </c>
      <c r="H6" s="3">
        <f>64+19.62</f>
        <v>83.62</v>
      </c>
      <c r="I6" s="7">
        <f t="shared" si="0"/>
        <v>667.73</v>
      </c>
      <c r="J6" s="22" t="s">
        <v>8</v>
      </c>
      <c r="K6" s="14" t="s">
        <v>60</v>
      </c>
      <c r="L6" s="16"/>
    </row>
    <row r="7" spans="1:14" ht="30" x14ac:dyDescent="0.25">
      <c r="A7" s="6" t="s">
        <v>28</v>
      </c>
      <c r="B7" s="6" t="s">
        <v>29</v>
      </c>
      <c r="C7" s="5">
        <v>43173</v>
      </c>
      <c r="D7" s="5">
        <v>43175</v>
      </c>
      <c r="E7" s="2">
        <f>260.4+240.99+159.99</f>
        <v>661.38</v>
      </c>
      <c r="F7" s="3">
        <v>267.33999999999997</v>
      </c>
      <c r="G7" s="3">
        <v>91.2</v>
      </c>
      <c r="H7" s="3">
        <v>23</v>
      </c>
      <c r="I7" s="7">
        <f t="shared" si="0"/>
        <v>1042.92</v>
      </c>
      <c r="J7" s="22" t="s">
        <v>63</v>
      </c>
      <c r="K7" s="14"/>
      <c r="L7" s="16"/>
    </row>
    <row r="8" spans="1:14" ht="30" x14ac:dyDescent="0.25">
      <c r="A8" s="6" t="s">
        <v>26</v>
      </c>
      <c r="B8" s="6" t="s">
        <v>25</v>
      </c>
      <c r="C8" s="5">
        <v>43179</v>
      </c>
      <c r="D8" s="5">
        <v>43179</v>
      </c>
      <c r="E8" s="2">
        <v>948.4</v>
      </c>
      <c r="F8" s="3">
        <v>0</v>
      </c>
      <c r="G8" s="3">
        <v>102</v>
      </c>
      <c r="H8" s="3">
        <f>18.19+36.3+4.5+19.62</f>
        <v>78.61</v>
      </c>
      <c r="I8" s="7">
        <f t="shared" si="0"/>
        <v>1129.01</v>
      </c>
      <c r="J8" s="22" t="s">
        <v>9</v>
      </c>
      <c r="K8" s="14" t="s">
        <v>60</v>
      </c>
      <c r="L8" s="16"/>
    </row>
    <row r="9" spans="1:14" x14ac:dyDescent="0.25">
      <c r="A9" s="6" t="s">
        <v>24</v>
      </c>
      <c r="B9" s="6" t="s">
        <v>25</v>
      </c>
      <c r="C9" s="5">
        <v>43215</v>
      </c>
      <c r="D9" s="5">
        <v>43216</v>
      </c>
      <c r="E9" s="2">
        <v>560.52</v>
      </c>
      <c r="F9" s="3">
        <v>331.03</v>
      </c>
      <c r="G9" s="3">
        <v>122.4</v>
      </c>
      <c r="H9" s="3">
        <f>38+4.5+18.82</f>
        <v>61.32</v>
      </c>
      <c r="I9" s="7">
        <f t="shared" ref="I9:I10" si="1">SUM(E9:H9)</f>
        <v>1075.27</v>
      </c>
      <c r="J9" s="22" t="s">
        <v>10</v>
      </c>
      <c r="K9" s="14"/>
      <c r="L9" s="16"/>
    </row>
    <row r="10" spans="1:14" ht="30" x14ac:dyDescent="0.25">
      <c r="A10" s="6" t="s">
        <v>30</v>
      </c>
      <c r="B10" s="6" t="s">
        <v>31</v>
      </c>
      <c r="C10" s="5">
        <v>43208</v>
      </c>
      <c r="D10" s="5">
        <v>43209</v>
      </c>
      <c r="E10" s="2">
        <v>778.46</v>
      </c>
      <c r="F10" s="3">
        <f>245.12+2.53</f>
        <v>247.65</v>
      </c>
      <c r="G10" s="3">
        <v>122.4</v>
      </c>
      <c r="H10" s="3">
        <f>31.74+18.02</f>
        <v>49.76</v>
      </c>
      <c r="I10" s="7">
        <f t="shared" si="1"/>
        <v>1198.2700000000002</v>
      </c>
      <c r="J10" s="22" t="s">
        <v>11</v>
      </c>
      <c r="K10" s="14"/>
      <c r="L10" s="16"/>
    </row>
    <row r="11" spans="1:14" ht="30" x14ac:dyDescent="0.25">
      <c r="A11" s="6" t="s">
        <v>28</v>
      </c>
      <c r="B11" s="6" t="s">
        <v>29</v>
      </c>
      <c r="C11" s="5">
        <v>43234</v>
      </c>
      <c r="D11" s="5">
        <v>43236</v>
      </c>
      <c r="E11" s="2">
        <f>44.99+187</f>
        <v>231.99</v>
      </c>
      <c r="F11" s="3">
        <v>280.19</v>
      </c>
      <c r="G11" s="3">
        <v>57</v>
      </c>
      <c r="H11" s="3"/>
      <c r="I11" s="7">
        <f>SUM(E11:H11)</f>
        <v>569.18000000000006</v>
      </c>
      <c r="J11" s="22" t="s">
        <v>61</v>
      </c>
      <c r="K11" s="14"/>
      <c r="L11" s="16"/>
    </row>
    <row r="12" spans="1:14" ht="30" x14ac:dyDescent="0.25">
      <c r="A12" s="6" t="s">
        <v>32</v>
      </c>
      <c r="B12" s="6" t="s">
        <v>33</v>
      </c>
      <c r="C12" s="5">
        <v>43236</v>
      </c>
      <c r="D12" s="5">
        <v>43238</v>
      </c>
      <c r="E12" s="2">
        <v>299.85000000000002</v>
      </c>
      <c r="F12" s="3">
        <v>105</v>
      </c>
      <c r="G12" s="3">
        <v>145.80000000000001</v>
      </c>
      <c r="H12" s="3">
        <f>25.25</f>
        <v>25.25</v>
      </c>
      <c r="I12" s="7">
        <f>SUM(E12:H12)</f>
        <v>575.90000000000009</v>
      </c>
      <c r="J12" s="22" t="s">
        <v>12</v>
      </c>
      <c r="K12" s="14"/>
      <c r="L12" s="16"/>
    </row>
    <row r="13" spans="1:14" x14ac:dyDescent="0.25">
      <c r="A13" s="6" t="s">
        <v>34</v>
      </c>
      <c r="B13" s="6" t="s">
        <v>35</v>
      </c>
      <c r="C13" s="5">
        <v>43261</v>
      </c>
      <c r="D13" s="5">
        <v>43263</v>
      </c>
      <c r="E13" s="2">
        <f>762.93+334.33</f>
        <v>1097.26</v>
      </c>
      <c r="F13" s="3">
        <v>196</v>
      </c>
      <c r="G13" s="3">
        <v>70.400000000000006</v>
      </c>
      <c r="H13" s="3"/>
      <c r="I13" s="7">
        <f t="shared" ref="I13:I22" si="2">SUM(E13:H13)</f>
        <v>1363.66</v>
      </c>
      <c r="J13" s="22" t="s">
        <v>120</v>
      </c>
      <c r="K13" s="14"/>
      <c r="L13" s="16"/>
    </row>
    <row r="14" spans="1:14" ht="30" x14ac:dyDescent="0.25">
      <c r="A14" s="6" t="s">
        <v>24</v>
      </c>
      <c r="B14" s="6" t="s">
        <v>25</v>
      </c>
      <c r="C14" s="5">
        <v>43263</v>
      </c>
      <c r="D14" s="5">
        <v>43264</v>
      </c>
      <c r="E14" s="2">
        <f>184.99+428.6</f>
        <v>613.59</v>
      </c>
      <c r="F14" s="3">
        <f>128.71+4.24</f>
        <v>132.95000000000002</v>
      </c>
      <c r="G14" s="3">
        <v>122.4</v>
      </c>
      <c r="H14" s="3">
        <f>4.5+41</f>
        <v>45.5</v>
      </c>
      <c r="I14" s="7">
        <f t="shared" si="2"/>
        <v>914.44</v>
      </c>
      <c r="J14" s="22" t="s">
        <v>121</v>
      </c>
      <c r="K14" s="14"/>
      <c r="L14" s="16"/>
    </row>
    <row r="15" spans="1:14" ht="30" x14ac:dyDescent="0.25">
      <c r="A15" s="6" t="s">
        <v>36</v>
      </c>
      <c r="B15" s="6" t="s">
        <v>37</v>
      </c>
      <c r="C15" s="5">
        <v>43264</v>
      </c>
      <c r="D15" s="5">
        <v>43266</v>
      </c>
      <c r="E15" s="2">
        <f>535.07+89.99+184.99</f>
        <v>810.05000000000007</v>
      </c>
      <c r="F15" s="3">
        <v>124.3</v>
      </c>
      <c r="G15" s="3">
        <v>61.6</v>
      </c>
      <c r="H15" s="3">
        <f>21.4+8.45+12.95+18.18</f>
        <v>60.98</v>
      </c>
      <c r="I15" s="7">
        <f t="shared" si="2"/>
        <v>1056.93</v>
      </c>
      <c r="J15" s="22" t="s">
        <v>122</v>
      </c>
      <c r="K15" s="14"/>
      <c r="L15" s="16"/>
    </row>
    <row r="16" spans="1:14" ht="30" x14ac:dyDescent="0.25">
      <c r="A16" s="6" t="s">
        <v>38</v>
      </c>
      <c r="B16" s="6" t="s">
        <v>39</v>
      </c>
      <c r="C16" s="5">
        <v>43258</v>
      </c>
      <c r="D16" s="5">
        <v>43259</v>
      </c>
      <c r="E16" s="2">
        <v>42</v>
      </c>
      <c r="F16" s="3"/>
      <c r="G16" s="3"/>
      <c r="H16" s="3"/>
      <c r="I16" s="7">
        <f t="shared" si="2"/>
        <v>42</v>
      </c>
      <c r="J16" s="22" t="s">
        <v>13</v>
      </c>
      <c r="K16" s="14" t="s">
        <v>112</v>
      </c>
      <c r="L16" s="16"/>
    </row>
    <row r="17" spans="1:12" ht="30" x14ac:dyDescent="0.25">
      <c r="A17" s="6" t="s">
        <v>40</v>
      </c>
      <c r="B17" s="6" t="s">
        <v>41</v>
      </c>
      <c r="C17" s="5">
        <v>43256</v>
      </c>
      <c r="D17" s="5">
        <v>43256</v>
      </c>
      <c r="E17" s="2">
        <v>581.12</v>
      </c>
      <c r="F17" s="3"/>
      <c r="G17" s="3">
        <v>98</v>
      </c>
      <c r="H17" s="3">
        <v>95.89</v>
      </c>
      <c r="I17" s="7">
        <f t="shared" si="2"/>
        <v>775.01</v>
      </c>
      <c r="J17" s="22" t="s">
        <v>62</v>
      </c>
      <c r="K17" s="14"/>
      <c r="L17" s="16"/>
    </row>
    <row r="18" spans="1:12" ht="30" x14ac:dyDescent="0.25">
      <c r="A18" s="6" t="s">
        <v>24</v>
      </c>
      <c r="B18" s="6" t="s">
        <v>25</v>
      </c>
      <c r="C18" s="5">
        <v>43269</v>
      </c>
      <c r="D18" s="5">
        <v>43269</v>
      </c>
      <c r="E18" s="2">
        <v>427.86</v>
      </c>
      <c r="F18" s="3">
        <v>0</v>
      </c>
      <c r="G18" s="3">
        <v>102</v>
      </c>
      <c r="H18" s="3">
        <v>38.340000000000003</v>
      </c>
      <c r="I18" s="7">
        <f t="shared" si="2"/>
        <v>568.20000000000005</v>
      </c>
      <c r="J18" s="22" t="s">
        <v>123</v>
      </c>
      <c r="K18" s="14" t="s">
        <v>60</v>
      </c>
      <c r="L18" s="16"/>
    </row>
    <row r="19" spans="1:12" x14ac:dyDescent="0.25">
      <c r="A19" s="6" t="s">
        <v>42</v>
      </c>
      <c r="B19" s="6" t="s">
        <v>43</v>
      </c>
      <c r="C19" s="5">
        <v>43271</v>
      </c>
      <c r="D19" s="5">
        <v>43273</v>
      </c>
      <c r="E19" s="2">
        <v>281</v>
      </c>
      <c r="F19" s="3"/>
      <c r="G19" s="3"/>
      <c r="H19" s="3"/>
      <c r="I19" s="7">
        <f t="shared" si="2"/>
        <v>281</v>
      </c>
      <c r="J19" s="22" t="s">
        <v>15</v>
      </c>
      <c r="K19" s="14" t="s">
        <v>112</v>
      </c>
      <c r="L19" s="16"/>
    </row>
    <row r="20" spans="1:12" ht="30" x14ac:dyDescent="0.25">
      <c r="A20" s="6" t="s">
        <v>24</v>
      </c>
      <c r="B20" s="6" t="s">
        <v>25</v>
      </c>
      <c r="C20" s="5">
        <v>43273</v>
      </c>
      <c r="D20" s="5">
        <v>43273</v>
      </c>
      <c r="E20" s="2">
        <f>351.1+99</f>
        <v>450.1</v>
      </c>
      <c r="F20" s="3"/>
      <c r="G20" s="3">
        <v>102</v>
      </c>
      <c r="H20" s="3">
        <f>18.4+4.5</f>
        <v>22.9</v>
      </c>
      <c r="I20" s="7">
        <f t="shared" si="2"/>
        <v>575</v>
      </c>
      <c r="J20" s="22" t="s">
        <v>16</v>
      </c>
      <c r="K20" s="14"/>
      <c r="L20" s="16"/>
    </row>
    <row r="21" spans="1:12" ht="30" x14ac:dyDescent="0.25">
      <c r="A21" s="6" t="s">
        <v>24</v>
      </c>
      <c r="B21" s="6" t="s">
        <v>25</v>
      </c>
      <c r="C21" s="5">
        <v>43276</v>
      </c>
      <c r="D21" s="5">
        <v>43277</v>
      </c>
      <c r="E21" s="2">
        <f>329.86+33.14</f>
        <v>363</v>
      </c>
      <c r="F21" s="3">
        <f>168.6+4.24</f>
        <v>172.84</v>
      </c>
      <c r="G21" s="3">
        <v>122.4</v>
      </c>
      <c r="H21" s="3">
        <f>25.35+84.87+4.5+17.68</f>
        <v>132.4</v>
      </c>
      <c r="I21" s="7">
        <f t="shared" si="2"/>
        <v>790.64</v>
      </c>
      <c r="J21" s="22" t="s">
        <v>17</v>
      </c>
      <c r="K21" s="14"/>
      <c r="L21" s="16"/>
    </row>
    <row r="22" spans="1:12" ht="45" x14ac:dyDescent="0.25">
      <c r="A22" s="6" t="s">
        <v>38</v>
      </c>
      <c r="B22" s="6" t="s">
        <v>39</v>
      </c>
      <c r="C22" s="5">
        <v>43280</v>
      </c>
      <c r="D22" s="5">
        <v>43280</v>
      </c>
      <c r="E22" s="2">
        <f>71.6+119.99-48.39</f>
        <v>143.19999999999999</v>
      </c>
      <c r="F22" s="3">
        <v>0</v>
      </c>
      <c r="G22" s="3">
        <v>71.400000000000006</v>
      </c>
      <c r="H22" s="3">
        <v>12</v>
      </c>
      <c r="I22" s="7">
        <f t="shared" si="2"/>
        <v>226.6</v>
      </c>
      <c r="J22" s="22" t="s">
        <v>64</v>
      </c>
      <c r="K22" s="14" t="s">
        <v>60</v>
      </c>
      <c r="L22" s="16"/>
    </row>
    <row r="23" spans="1:12" ht="30" x14ac:dyDescent="0.25">
      <c r="A23" s="6" t="s">
        <v>44</v>
      </c>
      <c r="B23" s="6" t="s">
        <v>45</v>
      </c>
      <c r="C23" s="5">
        <v>43283</v>
      </c>
      <c r="D23" s="5">
        <v>43285</v>
      </c>
      <c r="E23" s="2">
        <v>396.68</v>
      </c>
      <c r="F23" s="3">
        <f>248.62+5.85</f>
        <v>254.47</v>
      </c>
      <c r="G23" s="3">
        <v>149.34</v>
      </c>
      <c r="H23" s="3"/>
      <c r="I23" s="7">
        <f>SUM(E23:H23)</f>
        <v>800.49</v>
      </c>
      <c r="J23" s="22" t="s">
        <v>132</v>
      </c>
      <c r="K23" s="14"/>
      <c r="L23" s="16"/>
    </row>
    <row r="24" spans="1:12" ht="30" x14ac:dyDescent="0.25">
      <c r="A24" s="6" t="s">
        <v>38</v>
      </c>
      <c r="B24" s="6" t="s">
        <v>39</v>
      </c>
      <c r="C24" s="5">
        <v>43283</v>
      </c>
      <c r="D24" s="5">
        <v>43283</v>
      </c>
      <c r="E24" s="2">
        <f>284.4-63.52</f>
        <v>220.87999999999997</v>
      </c>
      <c r="F24" s="3">
        <v>0</v>
      </c>
      <c r="G24" s="3">
        <v>76.5</v>
      </c>
      <c r="H24" s="3">
        <v>13</v>
      </c>
      <c r="I24" s="7">
        <f>SUM(E24:H24)</f>
        <v>310.38</v>
      </c>
      <c r="J24" s="22" t="s">
        <v>131</v>
      </c>
      <c r="K24" s="14" t="s">
        <v>60</v>
      </c>
      <c r="L24" s="16"/>
    </row>
    <row r="25" spans="1:12" ht="30" x14ac:dyDescent="0.25">
      <c r="A25" s="6" t="s">
        <v>46</v>
      </c>
      <c r="B25" s="6" t="s">
        <v>47</v>
      </c>
      <c r="C25" s="5">
        <v>43286</v>
      </c>
      <c r="D25" s="5">
        <v>43287</v>
      </c>
      <c r="E25" s="2">
        <f>127.88+28.77</f>
        <v>156.65</v>
      </c>
      <c r="F25" s="3">
        <v>118.92</v>
      </c>
      <c r="G25" s="3">
        <v>28.16</v>
      </c>
      <c r="H25" s="3">
        <v>23.81</v>
      </c>
      <c r="I25" s="7">
        <f>SUM(E25:H25)</f>
        <v>327.54000000000002</v>
      </c>
      <c r="J25" s="22" t="s">
        <v>124</v>
      </c>
      <c r="K25" s="14"/>
      <c r="L25" s="16"/>
    </row>
    <row r="26" spans="1:12" ht="30" x14ac:dyDescent="0.25">
      <c r="A26" s="6" t="s">
        <v>38</v>
      </c>
      <c r="B26" s="6" t="s">
        <v>48</v>
      </c>
      <c r="C26" s="5">
        <v>43293</v>
      </c>
      <c r="D26" s="5">
        <v>43293</v>
      </c>
      <c r="E26" s="2">
        <f>700.74+17.99</f>
        <v>718.73</v>
      </c>
      <c r="F26" s="3">
        <v>0</v>
      </c>
      <c r="G26" s="3">
        <v>102</v>
      </c>
      <c r="H26" s="3"/>
      <c r="I26" s="7">
        <f t="shared" ref="I26:I29" si="3">SUM(E26:H26)</f>
        <v>820.73</v>
      </c>
      <c r="J26" s="22" t="s">
        <v>125</v>
      </c>
      <c r="K26" s="14" t="s">
        <v>60</v>
      </c>
      <c r="L26" s="16"/>
    </row>
    <row r="27" spans="1:12" ht="30" x14ac:dyDescent="0.25">
      <c r="A27" s="6" t="s">
        <v>27</v>
      </c>
      <c r="B27" s="6" t="s">
        <v>23</v>
      </c>
      <c r="C27" s="5">
        <v>43368</v>
      </c>
      <c r="D27" s="5">
        <v>43370</v>
      </c>
      <c r="E27" s="2">
        <v>201.88</v>
      </c>
      <c r="F27" s="3">
        <v>283.3</v>
      </c>
      <c r="G27" s="3">
        <v>119.52</v>
      </c>
      <c r="H27" s="3">
        <v>85</v>
      </c>
      <c r="I27" s="7">
        <f t="shared" si="3"/>
        <v>689.7</v>
      </c>
      <c r="J27" s="22" t="s">
        <v>18</v>
      </c>
      <c r="K27" s="14"/>
      <c r="L27" s="16"/>
    </row>
    <row r="28" spans="1:12" x14ac:dyDescent="0.25">
      <c r="A28" s="6" t="s">
        <v>24</v>
      </c>
      <c r="B28" s="6" t="s">
        <v>25</v>
      </c>
      <c r="C28" s="5">
        <v>43370</v>
      </c>
      <c r="D28" s="5">
        <v>43371</v>
      </c>
      <c r="E28" s="2">
        <v>83.65</v>
      </c>
      <c r="F28" s="3">
        <v>158.74</v>
      </c>
      <c r="G28" s="3">
        <v>75.58</v>
      </c>
      <c r="H28" s="3"/>
      <c r="I28" s="7">
        <f t="shared" si="3"/>
        <v>317.97000000000003</v>
      </c>
      <c r="J28" s="22" t="s">
        <v>19</v>
      </c>
      <c r="K28" s="14"/>
      <c r="L28" s="16"/>
    </row>
    <row r="29" spans="1:12" ht="30" x14ac:dyDescent="0.25">
      <c r="A29" s="6" t="s">
        <v>24</v>
      </c>
      <c r="B29" s="6" t="s">
        <v>24</v>
      </c>
      <c r="C29" s="5">
        <v>43382</v>
      </c>
      <c r="D29" s="5">
        <v>43384</v>
      </c>
      <c r="E29" s="2">
        <v>162.4</v>
      </c>
      <c r="F29" s="3">
        <f>324.91+8.48</f>
        <v>333.39000000000004</v>
      </c>
      <c r="G29" s="3">
        <v>193.73</v>
      </c>
      <c r="H29" s="3">
        <f>40.16+71+4.5</f>
        <v>115.66</v>
      </c>
      <c r="I29" s="7">
        <f t="shared" si="3"/>
        <v>805.18000000000006</v>
      </c>
      <c r="J29" s="22" t="s">
        <v>126</v>
      </c>
      <c r="K29" s="14"/>
      <c r="L29" s="16"/>
    </row>
    <row r="30" spans="1:12" ht="30" x14ac:dyDescent="0.25">
      <c r="A30" s="6" t="s">
        <v>49</v>
      </c>
      <c r="B30" s="6" t="s">
        <v>50</v>
      </c>
      <c r="C30" s="5">
        <v>43373</v>
      </c>
      <c r="D30" s="5">
        <v>43375</v>
      </c>
      <c r="E30" s="2">
        <v>855.46</v>
      </c>
      <c r="F30" s="3">
        <f>359.98+7.21</f>
        <v>367.19</v>
      </c>
      <c r="G30" s="3">
        <v>159.01</v>
      </c>
      <c r="H30" s="3">
        <v>19.18</v>
      </c>
      <c r="I30" s="7">
        <f t="shared" ref="I30:I35" si="4">SUM(E30:H30)</f>
        <v>1400.8400000000001</v>
      </c>
      <c r="J30" s="22" t="s">
        <v>20</v>
      </c>
      <c r="K30" s="14"/>
      <c r="L30" s="16"/>
    </row>
    <row r="31" spans="1:12" ht="31.5" customHeight="1" x14ac:dyDescent="0.25">
      <c r="A31" s="6" t="s">
        <v>38</v>
      </c>
      <c r="B31" s="6" t="s">
        <v>39</v>
      </c>
      <c r="C31" s="5">
        <v>43423</v>
      </c>
      <c r="D31" s="5">
        <v>43425</v>
      </c>
      <c r="E31" s="2">
        <f>492.95+15.99</f>
        <v>508.94</v>
      </c>
      <c r="F31" s="3">
        <v>257.5</v>
      </c>
      <c r="G31" s="3">
        <v>132.32</v>
      </c>
      <c r="H31" s="3"/>
      <c r="I31" s="7">
        <f t="shared" si="4"/>
        <v>898.76</v>
      </c>
      <c r="J31" s="22" t="s">
        <v>111</v>
      </c>
      <c r="K31" s="14"/>
      <c r="L31" s="16"/>
    </row>
    <row r="32" spans="1:12" ht="30" x14ac:dyDescent="0.25">
      <c r="A32" s="6" t="s">
        <v>51</v>
      </c>
      <c r="B32" s="6" t="s">
        <v>52</v>
      </c>
      <c r="C32" s="5">
        <v>43396</v>
      </c>
      <c r="D32" s="5">
        <v>43398</v>
      </c>
      <c r="E32" s="4">
        <v>377.73</v>
      </c>
      <c r="F32" s="3">
        <v>127.5</v>
      </c>
      <c r="G32" s="3">
        <v>79.180000000000007</v>
      </c>
      <c r="H32" s="3">
        <f>20.08+19.8</f>
        <v>39.879999999999995</v>
      </c>
      <c r="I32" s="7">
        <f t="shared" si="4"/>
        <v>624.29000000000008</v>
      </c>
      <c r="J32" s="22" t="s">
        <v>127</v>
      </c>
      <c r="K32" s="14"/>
      <c r="L32" s="16"/>
    </row>
    <row r="33" spans="1:12" ht="30" x14ac:dyDescent="0.25">
      <c r="A33" s="6" t="s">
        <v>53</v>
      </c>
      <c r="B33" s="6" t="s">
        <v>54</v>
      </c>
      <c r="C33" s="5">
        <v>43426</v>
      </c>
      <c r="D33" s="5">
        <v>43427</v>
      </c>
      <c r="E33" s="2">
        <v>237.27</v>
      </c>
      <c r="F33" s="3">
        <v>193</v>
      </c>
      <c r="G33" s="3">
        <v>66.510000000000005</v>
      </c>
      <c r="H33" s="3"/>
      <c r="I33" s="7">
        <f t="shared" si="4"/>
        <v>496.78</v>
      </c>
      <c r="J33" s="22" t="s">
        <v>21</v>
      </c>
      <c r="K33" s="14"/>
      <c r="L33" s="16"/>
    </row>
    <row r="34" spans="1:12" ht="30" x14ac:dyDescent="0.25">
      <c r="A34" s="6" t="s">
        <v>38</v>
      </c>
      <c r="B34" s="6" t="s">
        <v>39</v>
      </c>
      <c r="C34" s="5">
        <v>43444</v>
      </c>
      <c r="D34" s="5">
        <v>43445</v>
      </c>
      <c r="E34" s="2">
        <v>52.97</v>
      </c>
      <c r="F34" s="3">
        <v>120</v>
      </c>
      <c r="G34" s="3">
        <v>100.58</v>
      </c>
      <c r="H34" s="3"/>
      <c r="I34" s="7">
        <f t="shared" si="4"/>
        <v>273.55</v>
      </c>
      <c r="J34" s="22" t="s">
        <v>119</v>
      </c>
      <c r="K34" s="14"/>
      <c r="L34" s="16"/>
    </row>
    <row r="35" spans="1:12" x14ac:dyDescent="0.25">
      <c r="A35" s="6" t="s">
        <v>24</v>
      </c>
      <c r="B35" s="6" t="s">
        <v>25</v>
      </c>
      <c r="C35" s="5">
        <v>43440</v>
      </c>
      <c r="D35" s="5">
        <v>43440</v>
      </c>
      <c r="E35" s="2">
        <v>417.88</v>
      </c>
      <c r="F35" s="3">
        <v>0</v>
      </c>
      <c r="G35" s="3">
        <v>102</v>
      </c>
      <c r="H35" s="3">
        <v>34.799999999999997</v>
      </c>
      <c r="I35" s="7">
        <f t="shared" si="4"/>
        <v>554.67999999999995</v>
      </c>
      <c r="J35" s="22" t="s">
        <v>14</v>
      </c>
      <c r="K35" s="14" t="s">
        <v>60</v>
      </c>
      <c r="L35" s="16"/>
    </row>
    <row r="37" spans="1:12" s="23" customFormat="1" ht="75" x14ac:dyDescent="0.25">
      <c r="A37" s="23" t="s">
        <v>130</v>
      </c>
    </row>
  </sheetData>
  <sheetProtection sheet="1" objects="1" scenarios="1" selectLockedCells="1" selectUnlockedCells="1"/>
  <dataValidations count="9">
    <dataValidation allowBlank="1" showInputMessage="1" showErrorMessage="1" prompt="Select from DropDown menu to automatically fill other cells with information from the Invitation register," sqref="J4:J15 J17:J32 J34:J35"/>
    <dataValidation allowBlank="1" showInputMessage="1" showErrorMessage="1" prompt="Free text_x000a_" sqref="J33"/>
    <dataValidation type="list" allowBlank="1" showInputMessage="1" showErrorMessage="1" prompt="Enter the city/cities of the mission_x000a_" sqref="A5 B3:B35">
      <formula1>Countries</formula1>
    </dataValidation>
    <dataValidation type="list" allowBlank="1" showInputMessage="1" showErrorMessage="1" prompt="Choose from the drop down meny_x000a_" sqref="A3 A6:A35">
      <formula1>Countries</formula1>
    </dataValidation>
    <dataValidation type="date" operator="greaterThan" allowBlank="1" showInputMessage="1" showErrorMessage="1" sqref="C3:C35 D8">
      <formula1>42736</formula1>
    </dataValidation>
    <dataValidation type="date" allowBlank="1" showInputMessage="1" showErrorMessage="1" sqref="D3:D7">
      <formula1>42705</formula1>
      <formula2>43190</formula2>
    </dataValidation>
    <dataValidation type="date" allowBlank="1" showInputMessage="1" showErrorMessage="1" sqref="D9:D35">
      <formula1>42705</formula1>
      <formula2>43465</formula2>
    </dataValidation>
    <dataValidation type="decimal" operator="greaterThanOrEqual" allowBlank="1" showInputMessage="1" showErrorMessage="1" sqref="F3:H35 E2:F2">
      <formula1>0</formula1>
    </dataValidation>
    <dataValidation allowBlank="1" showInputMessage="1" showErrorMessage="1" prompt="Enter from mission claim (in EUR)" sqref="G2: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 Missions 2017- Bánfi</vt:lpstr>
      <vt:lpstr>ED missions 2017 - Schroeder</vt:lpstr>
      <vt:lpstr>ED missions 2018 - Schroeder</vt:lpstr>
    </vt:vector>
  </TitlesOfParts>
  <Company>CEPOL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Linnea Johansson</dc:creator>
  <cp:lastModifiedBy>Ioanna Pliota</cp:lastModifiedBy>
  <dcterms:created xsi:type="dcterms:W3CDTF">2019-07-18T09:42:16Z</dcterms:created>
  <dcterms:modified xsi:type="dcterms:W3CDTF">2019-07-25T13:48:05Z</dcterms:modified>
  <cp:contentStatus/>
</cp:coreProperties>
</file>